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 activeTab="2"/>
  </bookViews>
  <sheets>
    <sheet name="ПР.4 мун.пр." sheetId="1" r:id="rId1"/>
    <sheet name="пр.5 мун.пр." sheetId="4" r:id="rId2"/>
    <sheet name="пр.6. мун.пр." sheetId="2" r:id="rId3"/>
  </sheets>
  <definedNames>
    <definedName name="_xlnm._FilterDatabase" localSheetId="0" hidden="1">'ПР.4 мун.пр.'!$D$20:$G$140</definedName>
    <definedName name="_xlnm.Print_Titles" localSheetId="0">'ПР.4 мун.пр.'!$14:$16</definedName>
    <definedName name="_xlnm.Print_Titles" localSheetId="2">'пр.6. мун.пр.'!$11:$12</definedName>
    <definedName name="_xlnm.Print_Area" localSheetId="2">'пр.6. мун.пр.'!$A$1:$K$47</definedName>
  </definedNames>
  <calcPr calcId="125725"/>
</workbook>
</file>

<file path=xl/calcChain.xml><?xml version="1.0" encoding="utf-8"?>
<calcChain xmlns="http://schemas.openxmlformats.org/spreadsheetml/2006/main">
  <c r="H42" i="1"/>
  <c r="H36"/>
  <c r="H24"/>
  <c r="H56"/>
  <c r="H58"/>
  <c r="K58" s="1"/>
  <c r="I51" i="2"/>
  <c r="I35" s="1"/>
  <c r="I16"/>
  <c r="I50"/>
  <c r="H55" i="1"/>
  <c r="H31"/>
  <c r="I52" i="2"/>
  <c r="K131" i="1"/>
  <c r="K132"/>
  <c r="K91"/>
  <c r="K34"/>
  <c r="H89"/>
  <c r="H101" s="1"/>
  <c r="H69"/>
  <c r="H27"/>
  <c r="H102"/>
  <c r="D27" i="4"/>
  <c r="K105" i="1"/>
  <c r="K106"/>
  <c r="K107"/>
  <c r="I102"/>
  <c r="J102"/>
  <c r="K110"/>
  <c r="K111"/>
  <c r="J31" i="2"/>
  <c r="K31"/>
  <c r="I31"/>
  <c r="I21"/>
  <c r="E22" i="4"/>
  <c r="F22"/>
  <c r="E37"/>
  <c r="E39" s="1"/>
  <c r="F37"/>
  <c r="F39" s="1"/>
  <c r="D37"/>
  <c r="D39" s="1"/>
  <c r="E27"/>
  <c r="F27"/>
  <c r="D32"/>
  <c r="H130" i="1"/>
  <c r="H126" s="1"/>
  <c r="H140" s="1"/>
  <c r="K108"/>
  <c r="K109"/>
  <c r="K112"/>
  <c r="K113"/>
  <c r="K114"/>
  <c r="K115"/>
  <c r="K73"/>
  <c r="K74"/>
  <c r="H135"/>
  <c r="K104"/>
  <c r="K53"/>
  <c r="K56"/>
  <c r="H57"/>
  <c r="H78"/>
  <c r="K39"/>
  <c r="K38"/>
  <c r="K37"/>
  <c r="D22" i="4" l="1"/>
  <c r="H88" i="1"/>
  <c r="K102"/>
  <c r="D25" i="4"/>
  <c r="D29" s="1"/>
  <c r="K67" i="1"/>
  <c r="J20" l="1"/>
  <c r="E39" i="2"/>
  <c r="F39"/>
  <c r="D39"/>
  <c r="E34"/>
  <c r="F34"/>
  <c r="D34"/>
  <c r="E15"/>
  <c r="F15"/>
  <c r="D15"/>
  <c r="I25"/>
  <c r="J26"/>
  <c r="J25" s="1"/>
  <c r="I26"/>
  <c r="I49" s="1"/>
  <c r="I48" s="1"/>
  <c r="J50"/>
  <c r="K51"/>
  <c r="J51"/>
  <c r="E23" i="4"/>
  <c r="F23"/>
  <c r="I118" i="1"/>
  <c r="J118"/>
  <c r="H118"/>
  <c r="H125"/>
  <c r="I20"/>
  <c r="H40"/>
  <c r="H87"/>
  <c r="I101"/>
  <c r="I88" s="1"/>
  <c r="J101"/>
  <c r="J88" s="1"/>
  <c r="K116"/>
  <c r="K117"/>
  <c r="K26"/>
  <c r="K16" i="2"/>
  <c r="J16"/>
  <c r="K21"/>
  <c r="J21"/>
  <c r="K26" l="1"/>
  <c r="K25" s="1"/>
  <c r="D23" i="4"/>
  <c r="G23" s="1"/>
  <c r="H20" i="1"/>
  <c r="H124"/>
  <c r="K88"/>
  <c r="F18" i="4"/>
  <c r="D20"/>
  <c r="E18"/>
  <c r="D18"/>
  <c r="E25"/>
  <c r="E29" s="1"/>
  <c r="K103" i="1"/>
  <c r="D17" i="4"/>
  <c r="E32"/>
  <c r="F32"/>
  <c r="G28"/>
  <c r="G26"/>
  <c r="I87" i="1"/>
  <c r="J87"/>
  <c r="J86" s="1"/>
  <c r="I19"/>
  <c r="J19"/>
  <c r="H19"/>
  <c r="M17"/>
  <c r="N75"/>
  <c r="M75"/>
  <c r="I125"/>
  <c r="I124" s="1"/>
  <c r="J125"/>
  <c r="J124" s="1"/>
  <c r="N92"/>
  <c r="M92"/>
  <c r="K100"/>
  <c r="K99"/>
  <c r="K98"/>
  <c r="K97"/>
  <c r="K96"/>
  <c r="K95"/>
  <c r="K94"/>
  <c r="K93"/>
  <c r="K92"/>
  <c r="K90"/>
  <c r="N57"/>
  <c r="M57"/>
  <c r="N32"/>
  <c r="M32"/>
  <c r="K32"/>
  <c r="K28"/>
  <c r="N35"/>
  <c r="M35"/>
  <c r="J40" i="2"/>
  <c r="K40"/>
  <c r="I40"/>
  <c r="H86" i="1" l="1"/>
  <c r="E17" i="4"/>
  <c r="F17"/>
  <c r="G27"/>
  <c r="F25"/>
  <c r="F29" s="1"/>
  <c r="K87" i="1"/>
  <c r="K89"/>
  <c r="K125"/>
  <c r="K101"/>
  <c r="H17"/>
  <c r="M18" s="1"/>
  <c r="M19" s="1"/>
  <c r="G25" i="4" l="1"/>
  <c r="G29"/>
  <c r="M83" i="1"/>
  <c r="M82"/>
  <c r="K50" i="2"/>
  <c r="K35"/>
  <c r="J35"/>
  <c r="K49"/>
  <c r="K48" s="1"/>
  <c r="M84" i="1" l="1"/>
  <c r="J49" i="2"/>
  <c r="J48" s="1"/>
  <c r="K122" i="1" l="1"/>
  <c r="K123"/>
  <c r="O17" l="1"/>
  <c r="N17"/>
  <c r="D24" i="4"/>
  <c r="I126" i="1"/>
  <c r="J126"/>
  <c r="K139"/>
  <c r="K64"/>
  <c r="K81"/>
  <c r="K68"/>
  <c r="K41"/>
  <c r="E16" i="4"/>
  <c r="F16"/>
  <c r="G18"/>
  <c r="D16"/>
  <c r="K66" i="1"/>
  <c r="K65"/>
  <c r="K61"/>
  <c r="K54"/>
  <c r="K46"/>
  <c r="K42"/>
  <c r="K40"/>
  <c r="K35"/>
  <c r="K30"/>
  <c r="K22"/>
  <c r="G21" i="4"/>
  <c r="G31"/>
  <c r="G32"/>
  <c r="G33"/>
  <c r="G34"/>
  <c r="G36"/>
  <c r="G37"/>
  <c r="G38"/>
  <c r="I86" i="1"/>
  <c r="K127"/>
  <c r="K84"/>
  <c r="K85"/>
  <c r="K83"/>
  <c r="K82"/>
  <c r="K77"/>
  <c r="K76"/>
  <c r="K75"/>
  <c r="K72"/>
  <c r="K71"/>
  <c r="K70"/>
  <c r="K69"/>
  <c r="K63"/>
  <c r="K62"/>
  <c r="K60"/>
  <c r="K59"/>
  <c r="K57"/>
  <c r="K55"/>
  <c r="K21"/>
  <c r="K23"/>
  <c r="K24"/>
  <c r="K25"/>
  <c r="K27"/>
  <c r="K29"/>
  <c r="K31"/>
  <c r="K33"/>
  <c r="K36"/>
  <c r="K43"/>
  <c r="K44"/>
  <c r="K45"/>
  <c r="K47"/>
  <c r="K48"/>
  <c r="K49"/>
  <c r="K50"/>
  <c r="K51"/>
  <c r="K52"/>
  <c r="K78"/>
  <c r="K136"/>
  <c r="K135"/>
  <c r="K134"/>
  <c r="K133"/>
  <c r="K130"/>
  <c r="K129"/>
  <c r="K121"/>
  <c r="K120"/>
  <c r="K119"/>
  <c r="K137"/>
  <c r="K138"/>
  <c r="K128"/>
  <c r="K79"/>
  <c r="K80"/>
  <c r="K86" l="1"/>
  <c r="G16" i="4"/>
  <c r="J17" i="1"/>
  <c r="O18" s="1"/>
  <c r="O19" s="1"/>
  <c r="I17"/>
  <c r="N18" s="1"/>
  <c r="N19" s="1"/>
  <c r="I140"/>
  <c r="J140"/>
  <c r="F20" i="4"/>
  <c r="F24" s="1"/>
  <c r="E20"/>
  <c r="E24" s="1"/>
  <c r="E19" s="1"/>
  <c r="K126" i="1"/>
  <c r="K140" s="1"/>
  <c r="H18"/>
  <c r="K118"/>
  <c r="G22" i="4"/>
  <c r="K20" i="1"/>
  <c r="G17" i="4"/>
  <c r="G30"/>
  <c r="K19" i="1"/>
  <c r="D19" i="4" l="1"/>
  <c r="D15" s="1"/>
  <c r="I18" i="1"/>
  <c r="E15" i="4"/>
  <c r="F19"/>
  <c r="F15" s="1"/>
  <c r="J18" i="1"/>
  <c r="K124"/>
  <c r="G24" i="4"/>
  <c r="G20"/>
  <c r="K17" i="1"/>
  <c r="G39" i="4"/>
  <c r="K18" i="1" l="1"/>
  <c r="G35" i="4"/>
  <c r="G15"/>
  <c r="G19"/>
</calcChain>
</file>

<file path=xl/sharedStrings.xml><?xml version="1.0" encoding="utf-8"?>
<sst xmlns="http://schemas.openxmlformats.org/spreadsheetml/2006/main" count="505" uniqueCount="130">
  <si>
    <t>Наименование программы, подпрограммы</t>
  </si>
  <si>
    <t>Наименование ГРБС</t>
  </si>
  <si>
    <t>Код бюджетной классификации</t>
  </si>
  <si>
    <t>ГРБС</t>
  </si>
  <si>
    <t>РзПр</t>
  </si>
  <si>
    <t>ЦСР</t>
  </si>
  <si>
    <t>ВР</t>
  </si>
  <si>
    <t>Расходы (тыс.руб.), годы</t>
  </si>
  <si>
    <t>Итого на период</t>
  </si>
  <si>
    <t>Муниципальная программа</t>
  </si>
  <si>
    <t>Всего расходные обязательства по программе</t>
  </si>
  <si>
    <t>Подпрограмма 1</t>
  </si>
  <si>
    <t>Ресурсоное обеспечение и прогнозная оценка расходов на реализацию целей муниципальной программы города Назарово с учетом источников финансирования, в том числе по уровням бюджетной системы</t>
  </si>
  <si>
    <t>Наименование муниципальной программы, подпрограммы</t>
  </si>
  <si>
    <t>Ответственный исполнитель, соисполнитель</t>
  </si>
  <si>
    <t>Оценка расходов (тыс.руб.), годы</t>
  </si>
  <si>
    <t>Всего, в том числе:</t>
  </si>
  <si>
    <t>федеральный бюджет</t>
  </si>
  <si>
    <t>краевой бюджет</t>
  </si>
  <si>
    <t>внебюджетные источники</t>
  </si>
  <si>
    <t>бюджет города</t>
  </si>
  <si>
    <t>Прогноз сводных показателей муниципальных заданий (выполнение) муниципальных услуг (работ) муниципальными учреждениями по муниципальной программе города Назарово</t>
  </si>
  <si>
    <t>Наименование услуги, поазатели объема услуги (работы)</t>
  </si>
  <si>
    <t>Значение показателя объема услуги (работы) по годам</t>
  </si>
  <si>
    <t>Рсходы городского бюджета на оказание (выполнение) муниципальной услуги (работы), тыс.руб.</t>
  </si>
  <si>
    <t>Реализация основных общеобразовательных программ начального общего образования (в т.ч. программы дополнительного образования детей, группы подленного дня)</t>
  </si>
  <si>
    <t>Реализация основных общеобразовательных программ основного общего образования (в т.ч. программы дополнительного образования детей, группы подленного дня)</t>
  </si>
  <si>
    <t>Реализация основных общеобразовательных программ среднего (полного) общего образования (в т.ч. программы дополнительного образования детей, группы подленного дня)</t>
  </si>
  <si>
    <t>Реализация основных общеобразовательных программ дошкольного образования</t>
  </si>
  <si>
    <t>Реализация программ дополнительного образования детей</t>
  </si>
  <si>
    <t>Организационно-методическое и информационное обеспечение деятельности образовательных учреждений</t>
  </si>
  <si>
    <t>078</t>
  </si>
  <si>
    <t>Х</t>
  </si>
  <si>
    <t>Поддержка детей-сирот, расширение практики применения семейных форм воспитания</t>
  </si>
  <si>
    <t>Обеспечение реализации муниципальной программы и прочие мероприятия в области образования</t>
  </si>
  <si>
    <t xml:space="preserve">Приложение № 4 </t>
  </si>
  <si>
    <t>к муниципальной программе</t>
  </si>
  <si>
    <t>0709</t>
  </si>
  <si>
    <t>Всего расходные обязательства по мероприятию</t>
  </si>
  <si>
    <t>Всего расходные обязательства по подпрограмме</t>
  </si>
  <si>
    <t>0701</t>
  </si>
  <si>
    <t>0702</t>
  </si>
  <si>
    <t>0707</t>
  </si>
  <si>
    <t>1004</t>
  </si>
  <si>
    <t xml:space="preserve">Статус </t>
  </si>
  <si>
    <t xml:space="preserve">Приложение № 5 </t>
  </si>
  <si>
    <t>1. Количество обучающихся</t>
  </si>
  <si>
    <t>1. Количество потребителей</t>
  </si>
  <si>
    <t>1. Количество воспитанников</t>
  </si>
  <si>
    <t xml:space="preserve">Приложение № 6 </t>
  </si>
  <si>
    <t>Статус (муниципальная программа, подпрограмма)</t>
  </si>
  <si>
    <t>мероприятие: Развитие общего образования</t>
  </si>
  <si>
    <t>мероприятие: Развитие дополнительного образования</t>
  </si>
  <si>
    <t>мероприятие: Развитие дошкольного образования</t>
  </si>
  <si>
    <t>школы</t>
  </si>
  <si>
    <t>сады</t>
  </si>
  <si>
    <t>д/о</t>
  </si>
  <si>
    <t>ММЦ</t>
  </si>
  <si>
    <t>Подпрограмма 2</t>
  </si>
  <si>
    <t xml:space="preserve">"Развитие образования города Назарово </t>
  </si>
  <si>
    <t>на 2014-2016 годы"</t>
  </si>
  <si>
    <t>"Развитие образования города</t>
  </si>
  <si>
    <t xml:space="preserve"> Назарово на 2014-2016 годы"</t>
  </si>
  <si>
    <t xml:space="preserve">"Развитие образования города </t>
  </si>
  <si>
    <t>Назарово на 2014-2016 годы"</t>
  </si>
  <si>
    <t>Распределение планируемых расходов за счет средств бюджета города по мероприятиям и подпрограммам муниципальной программы</t>
  </si>
  <si>
    <t>Подпрограмма 3</t>
  </si>
  <si>
    <t>мероприятие: Методическое сопровождение учреждений, подведомственных Управлению</t>
  </si>
  <si>
    <t>Развитие образования города Назарово на 2014-2016 годы</t>
  </si>
  <si>
    <t>Управление образования</t>
  </si>
  <si>
    <t>Администрация г.Назарово</t>
  </si>
  <si>
    <t>питание</t>
  </si>
  <si>
    <t>Подпрограмма 4</t>
  </si>
  <si>
    <t>Развитие дополнительного образования детей</t>
  </si>
  <si>
    <t>Развитие дошкольного и общего образования детей</t>
  </si>
  <si>
    <t>1003</t>
  </si>
  <si>
    <t>платные</t>
  </si>
  <si>
    <t>род.пл.</t>
  </si>
  <si>
    <t>Развитие дошкольного и общего  образования детей</t>
  </si>
  <si>
    <t>Подпрограмма 1 "Развитие дошкольного и общего образования детей"</t>
  </si>
  <si>
    <t>Подпрограмма 1 "Развитие дошкольного и общего  образования детей"</t>
  </si>
  <si>
    <t>Подпрограмма 2 "Развитие дополнительного образования детей"</t>
  </si>
  <si>
    <t>Подпрограмма 4 "Обеспечение реализации муниципальной программы и прочие мероприятия в области образования"</t>
  </si>
  <si>
    <t>0110081</t>
  </si>
  <si>
    <t>0117554</t>
  </si>
  <si>
    <t>0117588</t>
  </si>
  <si>
    <t>0120081</t>
  </si>
  <si>
    <t>0117564</t>
  </si>
  <si>
    <t>0127582</t>
  </si>
  <si>
    <t>162</t>
  </si>
  <si>
    <t>0117421</t>
  </si>
  <si>
    <t>0140081</t>
  </si>
  <si>
    <t>0137552</t>
  </si>
  <si>
    <t>0137587</t>
  </si>
  <si>
    <t>0140031</t>
  </si>
  <si>
    <t>0114702</t>
  </si>
  <si>
    <t>0117582</t>
  </si>
  <si>
    <t>0117566</t>
  </si>
  <si>
    <t>0117556</t>
  </si>
  <si>
    <t>0127585</t>
  </si>
  <si>
    <t>0135082</t>
  </si>
  <si>
    <t>0118810</t>
  </si>
  <si>
    <t>ооо</t>
  </si>
  <si>
    <t>Приложение № 1</t>
  </si>
  <si>
    <t>к постановлению администрации г.Назарово</t>
  </si>
  <si>
    <t>Приложение № 2</t>
  </si>
  <si>
    <t>Приложение № 3</t>
  </si>
  <si>
    <t>0117558</t>
  </si>
  <si>
    <t>0111021</t>
  </si>
  <si>
    <t>0121021</t>
  </si>
  <si>
    <t>0114705</t>
  </si>
  <si>
    <t>0124705</t>
  </si>
  <si>
    <t>0141021</t>
  </si>
  <si>
    <t>кредиторка</t>
  </si>
  <si>
    <t>0124706</t>
  </si>
  <si>
    <t>соф.м.бюдж.</t>
  </si>
  <si>
    <t>0124707</t>
  </si>
  <si>
    <t>отд.кат.</t>
  </si>
  <si>
    <t>род.пл.бюджет</t>
  </si>
  <si>
    <t>род.пл= бюджет</t>
  </si>
  <si>
    <t>0127584</t>
  </si>
  <si>
    <t>0127441</t>
  </si>
  <si>
    <t>0127442</t>
  </si>
  <si>
    <t>0127445</t>
  </si>
  <si>
    <t>0144701</t>
  </si>
  <si>
    <t>выпускной</t>
  </si>
  <si>
    <t>0114703</t>
  </si>
  <si>
    <t>от 21.04.2014     № 701-п</t>
  </si>
  <si>
    <t>от 21.04.2014    №701-п</t>
  </si>
  <si>
    <t>от 21.04.2014    № 701-п</t>
  </si>
</sst>
</file>

<file path=xl/styles.xml><?xml version="1.0" encoding="utf-8"?>
<styleSheet xmlns="http://schemas.openxmlformats.org/spreadsheetml/2006/main">
  <numFmts count="4">
    <numFmt numFmtId="164" formatCode="#,##0.00_р_."/>
    <numFmt numFmtId="165" formatCode="#,##0.000_р_."/>
    <numFmt numFmtId="166" formatCode="0.0"/>
    <numFmt numFmtId="167" formatCode="#,##0.00000_р_."/>
  </numFmts>
  <fonts count="10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08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/>
    <xf numFmtId="0" fontId="1" fillId="0" borderId="3" xfId="0" applyFont="1" applyBorder="1" applyAlignment="1">
      <alignment horizontal="left" vertical="center" wrapText="1"/>
    </xf>
    <xf numFmtId="0" fontId="1" fillId="0" borderId="8" xfId="0" applyFont="1" applyBorder="1"/>
    <xf numFmtId="0" fontId="1" fillId="0" borderId="1" xfId="0" applyFont="1" applyBorder="1" applyAlignment="1">
      <alignment horizontal="center"/>
    </xf>
    <xf numFmtId="49" fontId="1" fillId="0" borderId="1" xfId="0" applyNumberFormat="1" applyFont="1" applyBorder="1" applyAlignment="1">
      <alignment horizontal="center"/>
    </xf>
    <xf numFmtId="0" fontId="6" fillId="0" borderId="0" xfId="0" applyFont="1"/>
    <xf numFmtId="0" fontId="1" fillId="0" borderId="1" xfId="0" applyFont="1" applyBorder="1" applyAlignment="1">
      <alignment wrapText="1"/>
    </xf>
    <xf numFmtId="0" fontId="5" fillId="0" borderId="1" xfId="0" applyFont="1" applyBorder="1" applyAlignment="1">
      <alignment horizontal="center" vertical="center"/>
    </xf>
    <xf numFmtId="164" fontId="8" fillId="0" borderId="1" xfId="0" applyNumberFormat="1" applyFont="1" applyBorder="1" applyAlignment="1">
      <alignment vertical="center"/>
    </xf>
    <xf numFmtId="164" fontId="8" fillId="0" borderId="1" xfId="0" applyNumberFormat="1" applyFont="1" applyBorder="1" applyAlignment="1">
      <alignment horizontal="center" vertical="center"/>
    </xf>
    <xf numFmtId="4" fontId="0" fillId="0" borderId="0" xfId="0" applyNumberFormat="1"/>
    <xf numFmtId="0" fontId="4" fillId="0" borderId="1" xfId="0" applyFont="1" applyBorder="1" applyAlignment="1">
      <alignment horizontal="center" vertical="center"/>
    </xf>
    <xf numFmtId="164" fontId="9" fillId="0" borderId="1" xfId="0" applyNumberFormat="1" applyFont="1" applyBorder="1" applyAlignment="1">
      <alignment vertical="center"/>
    </xf>
    <xf numFmtId="164" fontId="9" fillId="0" borderId="1" xfId="0" applyNumberFormat="1" applyFont="1" applyBorder="1" applyAlignment="1">
      <alignment horizontal="center" vertical="center"/>
    </xf>
    <xf numFmtId="4" fontId="1" fillId="0" borderId="0" xfId="0" applyNumberFormat="1" applyFont="1"/>
    <xf numFmtId="0" fontId="3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3" fillId="0" borderId="0" xfId="0" applyFont="1" applyAlignment="1">
      <alignment horizontal="left"/>
    </xf>
    <xf numFmtId="0" fontId="3" fillId="0" borderId="0" xfId="0" applyFont="1" applyAlignment="1"/>
    <xf numFmtId="0" fontId="6" fillId="0" borderId="0" xfId="0" applyFont="1" applyAlignment="1"/>
    <xf numFmtId="0" fontId="6" fillId="0" borderId="0" xfId="0" applyFont="1" applyAlignment="1">
      <alignment horizontal="left"/>
    </xf>
    <xf numFmtId="0" fontId="1" fillId="0" borderId="0" xfId="0" applyFont="1" applyBorder="1"/>
    <xf numFmtId="164" fontId="0" fillId="0" borderId="0" xfId="0" applyNumberFormat="1"/>
    <xf numFmtId="49" fontId="1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wrapText="1"/>
    </xf>
    <xf numFmtId="165" fontId="1" fillId="7" borderId="1" xfId="0" applyNumberFormat="1" applyFont="1" applyFill="1" applyBorder="1"/>
    <xf numFmtId="165" fontId="1" fillId="3" borderId="1" xfId="0" applyNumberFormat="1" applyFont="1" applyFill="1" applyBorder="1"/>
    <xf numFmtId="165" fontId="1" fillId="8" borderId="1" xfId="0" applyNumberFormat="1" applyFont="1" applyFill="1" applyBorder="1"/>
    <xf numFmtId="49" fontId="1" fillId="7" borderId="1" xfId="0" applyNumberFormat="1" applyFont="1" applyFill="1" applyBorder="1" applyAlignment="1">
      <alignment horizontal="center"/>
    </xf>
    <xf numFmtId="0" fontId="1" fillId="7" borderId="1" xfId="0" applyFont="1" applyFill="1" applyBorder="1" applyAlignment="1">
      <alignment horizontal="center"/>
    </xf>
    <xf numFmtId="0" fontId="1" fillId="7" borderId="1" xfId="0" applyFont="1" applyFill="1" applyBorder="1" applyAlignment="1">
      <alignment horizontal="center" vertical="center"/>
    </xf>
    <xf numFmtId="165" fontId="1" fillId="0" borderId="6" xfId="0" applyNumberFormat="1" applyFont="1" applyBorder="1"/>
    <xf numFmtId="165" fontId="1" fillId="0" borderId="9" xfId="0" applyNumberFormat="1" applyFont="1" applyBorder="1"/>
    <xf numFmtId="166" fontId="1" fillId="0" borderId="0" xfId="0" applyNumberFormat="1" applyFont="1"/>
    <xf numFmtId="0" fontId="1" fillId="0" borderId="1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/>
    </xf>
    <xf numFmtId="0" fontId="1" fillId="0" borderId="3" xfId="0" applyFont="1" applyBorder="1" applyAlignment="1">
      <alignment horizontal="center" vertical="center"/>
    </xf>
    <xf numFmtId="165" fontId="1" fillId="0" borderId="3" xfId="0" applyNumberFormat="1" applyFont="1" applyBorder="1" applyAlignment="1">
      <alignment vertical="center"/>
    </xf>
    <xf numFmtId="165" fontId="1" fillId="0" borderId="4" xfId="0" applyNumberFormat="1" applyFont="1" applyBorder="1" applyAlignment="1">
      <alignment vertical="center"/>
    </xf>
    <xf numFmtId="0" fontId="2" fillId="0" borderId="8" xfId="0" applyFont="1" applyBorder="1" applyAlignment="1">
      <alignment wrapText="1"/>
    </xf>
    <xf numFmtId="49" fontId="1" fillId="0" borderId="8" xfId="0" applyNumberFormat="1" applyFont="1" applyBorder="1" applyAlignment="1">
      <alignment horizontal="center"/>
    </xf>
    <xf numFmtId="0" fontId="1" fillId="0" borderId="8" xfId="0" applyFont="1" applyBorder="1" applyAlignment="1">
      <alignment horizontal="center" vertical="center"/>
    </xf>
    <xf numFmtId="49" fontId="1" fillId="0" borderId="8" xfId="0" applyNumberFormat="1" applyFont="1" applyBorder="1" applyAlignment="1">
      <alignment horizontal="center" vertical="center"/>
    </xf>
    <xf numFmtId="165" fontId="1" fillId="7" borderId="8" xfId="0" applyNumberFormat="1" applyFont="1" applyFill="1" applyBorder="1"/>
    <xf numFmtId="165" fontId="1" fillId="0" borderId="9" xfId="0" applyNumberFormat="1" applyFont="1" applyBorder="1" applyAlignment="1">
      <alignment vertical="center"/>
    </xf>
    <xf numFmtId="165" fontId="1" fillId="7" borderId="3" xfId="0" applyNumberFormat="1" applyFont="1" applyFill="1" applyBorder="1" applyAlignment="1">
      <alignment vertical="center"/>
    </xf>
    <xf numFmtId="0" fontId="1" fillId="0" borderId="8" xfId="0" applyFont="1" applyBorder="1" applyAlignment="1">
      <alignment horizontal="center"/>
    </xf>
    <xf numFmtId="165" fontId="1" fillId="7" borderId="6" xfId="0" applyNumberFormat="1" applyFont="1" applyFill="1" applyBorder="1"/>
    <xf numFmtId="165" fontId="1" fillId="0" borderId="8" xfId="0" applyNumberFormat="1" applyFont="1" applyBorder="1" applyAlignment="1">
      <alignment vertical="center"/>
    </xf>
    <xf numFmtId="49" fontId="1" fillId="8" borderId="1" xfId="0" applyNumberFormat="1" applyFont="1" applyFill="1" applyBorder="1" applyAlignment="1">
      <alignment horizontal="center"/>
    </xf>
    <xf numFmtId="0" fontId="1" fillId="8" borderId="1" xfId="0" applyFont="1" applyFill="1" applyBorder="1" applyAlignment="1">
      <alignment horizontal="center"/>
    </xf>
    <xf numFmtId="167" fontId="1" fillId="8" borderId="1" xfId="0" applyNumberFormat="1" applyFont="1" applyFill="1" applyBorder="1"/>
    <xf numFmtId="167" fontId="1" fillId="0" borderId="6" xfId="0" applyNumberFormat="1" applyFont="1" applyBorder="1"/>
    <xf numFmtId="167" fontId="1" fillId="0" borderId="3" xfId="0" applyNumberFormat="1" applyFont="1" applyBorder="1" applyAlignment="1">
      <alignment vertical="center"/>
    </xf>
    <xf numFmtId="167" fontId="1" fillId="0" borderId="4" xfId="0" applyNumberFormat="1" applyFont="1" applyBorder="1" applyAlignment="1">
      <alignment vertical="center"/>
    </xf>
    <xf numFmtId="167" fontId="1" fillId="0" borderId="1" xfId="0" applyNumberFormat="1" applyFont="1" applyBorder="1"/>
    <xf numFmtId="167" fontId="1" fillId="0" borderId="8" xfId="0" applyNumberFormat="1" applyFont="1" applyBorder="1"/>
    <xf numFmtId="167" fontId="1" fillId="0" borderId="9" xfId="0" applyNumberFormat="1" applyFont="1" applyBorder="1"/>
    <xf numFmtId="167" fontId="1" fillId="7" borderId="1" xfId="0" applyNumberFormat="1" applyFont="1" applyFill="1" applyBorder="1"/>
    <xf numFmtId="167" fontId="1" fillId="0" borderId="6" xfId="0" applyNumberFormat="1" applyFont="1" applyBorder="1" applyAlignment="1">
      <alignment vertical="center"/>
    </xf>
    <xf numFmtId="167" fontId="1" fillId="7" borderId="8" xfId="0" applyNumberFormat="1" applyFont="1" applyFill="1" applyBorder="1"/>
    <xf numFmtId="167" fontId="1" fillId="0" borderId="9" xfId="0" applyNumberFormat="1" applyFont="1" applyBorder="1" applyAlignment="1">
      <alignment vertical="center"/>
    </xf>
    <xf numFmtId="167" fontId="1" fillId="0" borderId="3" xfId="0" applyNumberFormat="1" applyFont="1" applyBorder="1"/>
    <xf numFmtId="167" fontId="1" fillId="0" borderId="4" xfId="0" applyNumberFormat="1" applyFont="1" applyBorder="1"/>
    <xf numFmtId="165" fontId="1" fillId="10" borderId="1" xfId="0" applyNumberFormat="1" applyFont="1" applyFill="1" applyBorder="1"/>
    <xf numFmtId="167" fontId="1" fillId="9" borderId="1" xfId="0" applyNumberFormat="1" applyFont="1" applyFill="1" applyBorder="1"/>
    <xf numFmtId="167" fontId="1" fillId="10" borderId="1" xfId="0" applyNumberFormat="1" applyFont="1" applyFill="1" applyBorder="1"/>
    <xf numFmtId="167" fontId="1" fillId="8" borderId="8" xfId="0" applyNumberFormat="1" applyFont="1" applyFill="1" applyBorder="1"/>
    <xf numFmtId="167" fontId="1" fillId="3" borderId="1" xfId="0" applyNumberFormat="1" applyFont="1" applyFill="1" applyBorder="1"/>
    <xf numFmtId="167" fontId="1" fillId="7" borderId="3" xfId="0" applyNumberFormat="1" applyFont="1" applyFill="1" applyBorder="1" applyAlignment="1">
      <alignment vertical="center"/>
    </xf>
    <xf numFmtId="167" fontId="1" fillId="10" borderId="8" xfId="0" applyNumberFormat="1" applyFont="1" applyFill="1" applyBorder="1"/>
    <xf numFmtId="0" fontId="6" fillId="0" borderId="0" xfId="0" applyFont="1" applyAlignment="1">
      <alignment horizontal="left"/>
    </xf>
    <xf numFmtId="0" fontId="3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3" fillId="7" borderId="0" xfId="0" applyFont="1" applyFill="1" applyAlignment="1">
      <alignment horizontal="left"/>
    </xf>
    <xf numFmtId="0" fontId="1" fillId="0" borderId="2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7" fillId="0" borderId="0" xfId="0" applyFont="1" applyAlignment="1">
      <alignment horizontal="center" wrapText="1"/>
    </xf>
    <xf numFmtId="0" fontId="3" fillId="0" borderId="0" xfId="0" applyFont="1" applyAlignment="1">
      <alignment horizontal="left"/>
    </xf>
    <xf numFmtId="0" fontId="4" fillId="6" borderId="1" xfId="0" applyFont="1" applyFill="1" applyBorder="1" applyAlignment="1">
      <alignment horizontal="left" wrapText="1"/>
    </xf>
    <xf numFmtId="0" fontId="5" fillId="0" borderId="1" xfId="0" applyFont="1" applyBorder="1" applyAlignment="1">
      <alignment horizontal="left" wrapText="1"/>
    </xf>
    <xf numFmtId="0" fontId="4" fillId="2" borderId="1" xfId="0" applyFont="1" applyFill="1" applyBorder="1" applyAlignment="1">
      <alignment horizontal="left" wrapText="1"/>
    </xf>
    <xf numFmtId="0" fontId="4" fillId="4" borderId="1" xfId="0" applyFont="1" applyFill="1" applyBorder="1" applyAlignment="1">
      <alignment horizontal="left" wrapText="1"/>
    </xf>
    <xf numFmtId="0" fontId="4" fillId="3" borderId="1" xfId="0" applyFont="1" applyFill="1" applyBorder="1" applyAlignment="1">
      <alignment horizontal="left" wrapText="1"/>
    </xf>
    <xf numFmtId="0" fontId="4" fillId="5" borderId="1" xfId="0" applyFont="1" applyFill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50"/>
  </sheetPr>
  <dimension ref="A1:P140"/>
  <sheetViews>
    <sheetView zoomScale="80" zoomScaleNormal="80" zoomScaleSheetLayoutView="90" workbookViewId="0">
      <selection activeCell="E17" sqref="E17"/>
    </sheetView>
  </sheetViews>
  <sheetFormatPr defaultRowHeight="15" outlineLevelRow="1" outlineLevelCol="1"/>
  <cols>
    <col min="1" max="1" width="16" style="1" customWidth="1"/>
    <col min="2" max="2" width="18.140625" style="1" customWidth="1"/>
    <col min="3" max="3" width="17.7109375" style="1" customWidth="1"/>
    <col min="4" max="5" width="9.140625" style="1"/>
    <col min="6" max="7" width="9.85546875" style="1" bestFit="1" customWidth="1"/>
    <col min="8" max="8" width="16.7109375" style="1" bestFit="1" customWidth="1"/>
    <col min="9" max="10" width="16" style="1" bestFit="1" customWidth="1"/>
    <col min="11" max="11" width="17.140625" style="1" customWidth="1"/>
    <col min="12" max="12" width="9.140625" hidden="1" customWidth="1" outlineLevel="1"/>
    <col min="13" max="13" width="18" hidden="1" customWidth="1" outlineLevel="1"/>
    <col min="14" max="15" width="10" hidden="1" customWidth="1" outlineLevel="1"/>
    <col min="16" max="16" width="9.140625" collapsed="1"/>
  </cols>
  <sheetData>
    <row r="1" spans="1:11">
      <c r="I1" s="1" t="s">
        <v>103</v>
      </c>
    </row>
    <row r="2" spans="1:11">
      <c r="I2" s="1" t="s">
        <v>104</v>
      </c>
    </row>
    <row r="3" spans="1:11">
      <c r="I3" s="1" t="s">
        <v>128</v>
      </c>
    </row>
    <row r="6" spans="1:11" hidden="1" outlineLevel="1"/>
    <row r="7" spans="1:11" ht="15.75" hidden="1" outlineLevel="1">
      <c r="A7" s="10"/>
      <c r="H7" s="76" t="s">
        <v>35</v>
      </c>
      <c r="I7" s="76"/>
      <c r="J7" s="76"/>
      <c r="K7" s="76"/>
    </row>
    <row r="8" spans="1:11" ht="15.75" hidden="1" outlineLevel="1">
      <c r="A8" s="10"/>
      <c r="H8" s="76" t="s">
        <v>36</v>
      </c>
      <c r="I8" s="76"/>
      <c r="J8" s="76"/>
      <c r="K8" s="76"/>
    </row>
    <row r="9" spans="1:11" ht="18.75" hidden="1" outlineLevel="1">
      <c r="A9" s="10"/>
      <c r="C9" s="26"/>
      <c r="D9" s="10"/>
      <c r="F9" s="23"/>
      <c r="G9" s="23"/>
      <c r="H9" s="76" t="s">
        <v>59</v>
      </c>
      <c r="I9" s="76"/>
      <c r="J9" s="76"/>
      <c r="K9" s="76"/>
    </row>
    <row r="10" spans="1:11" ht="15.75" hidden="1" outlineLevel="1">
      <c r="H10" s="76" t="s">
        <v>60</v>
      </c>
      <c r="I10" s="76"/>
      <c r="J10" s="76"/>
      <c r="K10" s="76"/>
    </row>
    <row r="11" spans="1:11" ht="18.75" collapsed="1">
      <c r="H11" s="79"/>
      <c r="I11" s="79"/>
      <c r="J11" s="79"/>
      <c r="K11" s="79"/>
    </row>
    <row r="12" spans="1:11" ht="40.5" customHeight="1">
      <c r="A12" s="77" t="s">
        <v>65</v>
      </c>
      <c r="B12" s="77"/>
      <c r="C12" s="77"/>
      <c r="D12" s="77"/>
      <c r="E12" s="77"/>
      <c r="F12" s="77"/>
      <c r="G12" s="77"/>
      <c r="H12" s="77"/>
      <c r="I12" s="77"/>
      <c r="J12" s="77"/>
      <c r="K12" s="77"/>
    </row>
    <row r="14" spans="1:11" ht="23.25" customHeight="1">
      <c r="A14" s="78" t="s">
        <v>50</v>
      </c>
      <c r="B14" s="78" t="s">
        <v>0</v>
      </c>
      <c r="C14" s="78" t="s">
        <v>1</v>
      </c>
      <c r="D14" s="78" t="s">
        <v>2</v>
      </c>
      <c r="E14" s="78"/>
      <c r="F14" s="78"/>
      <c r="G14" s="78"/>
      <c r="H14" s="78" t="s">
        <v>7</v>
      </c>
      <c r="I14" s="78"/>
      <c r="J14" s="78"/>
      <c r="K14" s="78"/>
    </row>
    <row r="15" spans="1:11" ht="36.75" customHeight="1">
      <c r="A15" s="78"/>
      <c r="B15" s="78"/>
      <c r="C15" s="78"/>
      <c r="D15" s="2" t="s">
        <v>3</v>
      </c>
      <c r="E15" s="2" t="s">
        <v>4</v>
      </c>
      <c r="F15" s="2" t="s">
        <v>5</v>
      </c>
      <c r="G15" s="2" t="s">
        <v>6</v>
      </c>
      <c r="H15" s="2">
        <v>2014</v>
      </c>
      <c r="I15" s="2">
        <v>2015</v>
      </c>
      <c r="J15" s="2">
        <v>2016</v>
      </c>
      <c r="K15" s="3" t="s">
        <v>8</v>
      </c>
    </row>
    <row r="16" spans="1:11" ht="15.75" thickBot="1">
      <c r="A16" s="40">
        <v>1</v>
      </c>
      <c r="B16" s="40">
        <v>2</v>
      </c>
      <c r="C16" s="40">
        <v>3</v>
      </c>
      <c r="D16" s="40">
        <v>4</v>
      </c>
      <c r="E16" s="40">
        <v>5</v>
      </c>
      <c r="F16" s="40">
        <v>6</v>
      </c>
      <c r="G16" s="40">
        <v>7</v>
      </c>
      <c r="H16" s="40">
        <v>8</v>
      </c>
      <c r="I16" s="40">
        <v>9</v>
      </c>
      <c r="J16" s="40">
        <v>10</v>
      </c>
      <c r="K16" s="40">
        <v>11</v>
      </c>
    </row>
    <row r="17" spans="1:15" ht="45">
      <c r="A17" s="86" t="s">
        <v>9</v>
      </c>
      <c r="B17" s="95" t="s">
        <v>68</v>
      </c>
      <c r="C17" s="6" t="s">
        <v>10</v>
      </c>
      <c r="D17" s="41" t="s">
        <v>32</v>
      </c>
      <c r="E17" s="41" t="s">
        <v>32</v>
      </c>
      <c r="F17" s="41" t="s">
        <v>32</v>
      </c>
      <c r="G17" s="41" t="s">
        <v>32</v>
      </c>
      <c r="H17" s="58">
        <f>H20+H118+H126+H88</f>
        <v>576164.5546899999</v>
      </c>
      <c r="I17" s="58">
        <f>I20+I118+I126+I88</f>
        <v>511697.80000000005</v>
      </c>
      <c r="J17" s="58">
        <f>J20+J118+J126+J88</f>
        <v>511697.80000000005</v>
      </c>
      <c r="K17" s="59">
        <f>SUM(H17:J17)</f>
        <v>1599560.15469</v>
      </c>
      <c r="M17" s="15">
        <f>H22+H25+H28+H30+H32+H35+H42+H44+H45+H48+H50+H51+H52+H57+H59+H60+H61+H62+H63+H70+H71+H75+H76+H82+H83+H92+H118+H93+H94</f>
        <v>316927.38899999991</v>
      </c>
      <c r="N17" s="15">
        <f>I22+I25+I28+I30+I32+I35+I42+I44+I45+I48+I50+I51+I52+I57+I59+I60+I61+I62+I63+I70+I71+I75+I76+I82+I83+I92+I93+I94+I118</f>
        <v>276063.8000000001</v>
      </c>
      <c r="O17" s="15">
        <f>J22+J25+J28+J30+J32++J35+J42+J44+J45+J48+J50+J51+J52+J57+J59+J60+J61+J62+J63+J70+J71+J75+J76+J82+J83+J92+J93+J94+J118</f>
        <v>276063.8000000001</v>
      </c>
    </row>
    <row r="18" spans="1:15" ht="26.25" customHeight="1">
      <c r="A18" s="87"/>
      <c r="B18" s="78"/>
      <c r="C18" s="29" t="s">
        <v>69</v>
      </c>
      <c r="D18" s="9" t="s">
        <v>31</v>
      </c>
      <c r="E18" s="39" t="s">
        <v>32</v>
      </c>
      <c r="F18" s="39" t="s">
        <v>32</v>
      </c>
      <c r="G18" s="39" t="s">
        <v>32</v>
      </c>
      <c r="H18" s="60">
        <f>H17-H19</f>
        <v>576164.5546899999</v>
      </c>
      <c r="I18" s="60">
        <f t="shared" ref="I18:J18" si="0">I17-I19</f>
        <v>507262.60000000003</v>
      </c>
      <c r="J18" s="60">
        <f t="shared" si="0"/>
        <v>507262.60000000003</v>
      </c>
      <c r="K18" s="57">
        <f t="shared" ref="K18:K125" si="1">SUM(H18:J18)</f>
        <v>1590689.7546900001</v>
      </c>
      <c r="M18" s="15">
        <f>H17-M17</f>
        <v>259237.16568999999</v>
      </c>
      <c r="N18" s="15">
        <f>I17-N17</f>
        <v>235633.99999999994</v>
      </c>
      <c r="O18" s="15">
        <f>J17-O17</f>
        <v>235633.99999999994</v>
      </c>
    </row>
    <row r="19" spans="1:15" ht="28.5" customHeight="1" thickBot="1">
      <c r="A19" s="88"/>
      <c r="B19" s="96"/>
      <c r="C19" s="44" t="s">
        <v>70</v>
      </c>
      <c r="D19" s="45" t="s">
        <v>89</v>
      </c>
      <c r="E19" s="46" t="s">
        <v>32</v>
      </c>
      <c r="F19" s="46" t="s">
        <v>32</v>
      </c>
      <c r="G19" s="46" t="s">
        <v>32</v>
      </c>
      <c r="H19" s="61">
        <f>H60+H61+H93+H94+H122+H123</f>
        <v>0</v>
      </c>
      <c r="I19" s="61">
        <f>I60+I61+I93+I94+I122+I123</f>
        <v>4435.2000000000007</v>
      </c>
      <c r="J19" s="61">
        <f>J60+J61+J93+J94+J122+J123</f>
        <v>4435.2</v>
      </c>
      <c r="K19" s="62">
        <f t="shared" si="1"/>
        <v>8870.4000000000015</v>
      </c>
      <c r="M19" s="15">
        <f>M18-467.7-19759.8</f>
        <v>239009.66568999999</v>
      </c>
      <c r="N19" s="15">
        <f>N18-491.1-20846.6</f>
        <v>214296.29999999993</v>
      </c>
      <c r="O19" s="15">
        <f>O18-491.1-20846.6</f>
        <v>214296.29999999993</v>
      </c>
    </row>
    <row r="20" spans="1:15" ht="46.5" customHeight="1">
      <c r="A20" s="89" t="s">
        <v>11</v>
      </c>
      <c r="B20" s="92" t="s">
        <v>74</v>
      </c>
      <c r="C20" s="6" t="s">
        <v>39</v>
      </c>
      <c r="D20" s="41" t="s">
        <v>32</v>
      </c>
      <c r="E20" s="41" t="s">
        <v>32</v>
      </c>
      <c r="F20" s="41" t="s">
        <v>32</v>
      </c>
      <c r="G20" s="41" t="s">
        <v>32</v>
      </c>
      <c r="H20" s="58">
        <f>SUM(H21:H85)</f>
        <v>523723.37635999988</v>
      </c>
      <c r="I20" s="58">
        <f t="shared" ref="I20" si="2">SUM(I21:I85)</f>
        <v>463738.70000000007</v>
      </c>
      <c r="J20" s="58">
        <f>SUM(J21:J85)</f>
        <v>463736.20000000007</v>
      </c>
      <c r="K20" s="59">
        <f t="shared" si="1"/>
        <v>1451198.27636</v>
      </c>
    </row>
    <row r="21" spans="1:15" ht="15" hidden="1" customHeight="1" outlineLevel="1">
      <c r="A21" s="90"/>
      <c r="B21" s="93"/>
      <c r="C21" s="4"/>
      <c r="D21" s="9" t="s">
        <v>31</v>
      </c>
      <c r="E21" s="9" t="s">
        <v>40</v>
      </c>
      <c r="F21" s="9" t="s">
        <v>83</v>
      </c>
      <c r="G21" s="8">
        <v>111</v>
      </c>
      <c r="H21" s="71">
        <v>2508.46</v>
      </c>
      <c r="I21" s="70">
        <v>2678.9</v>
      </c>
      <c r="J21" s="70">
        <v>2678.9</v>
      </c>
      <c r="K21" s="57">
        <f t="shared" si="1"/>
        <v>7866.26</v>
      </c>
    </row>
    <row r="22" spans="1:15" ht="15" hidden="1" customHeight="1" outlineLevel="1">
      <c r="A22" s="90"/>
      <c r="B22" s="93"/>
      <c r="C22" s="4"/>
      <c r="D22" s="9" t="s">
        <v>31</v>
      </c>
      <c r="E22" s="9" t="s">
        <v>40</v>
      </c>
      <c r="F22" s="9" t="s">
        <v>85</v>
      </c>
      <c r="G22" s="8">
        <v>111</v>
      </c>
      <c r="H22" s="69">
        <v>4105.473</v>
      </c>
      <c r="I22" s="32">
        <v>3632</v>
      </c>
      <c r="J22" s="32">
        <v>3632</v>
      </c>
      <c r="K22" s="36">
        <f t="shared" si="1"/>
        <v>11369.473</v>
      </c>
    </row>
    <row r="23" spans="1:15" ht="15" hidden="1" customHeight="1" outlineLevel="1">
      <c r="A23" s="90"/>
      <c r="B23" s="93"/>
      <c r="C23" s="4"/>
      <c r="D23" s="9" t="s">
        <v>31</v>
      </c>
      <c r="E23" s="9" t="s">
        <v>40</v>
      </c>
      <c r="F23" s="9" t="s">
        <v>83</v>
      </c>
      <c r="G23" s="8">
        <v>112</v>
      </c>
      <c r="H23" s="71">
        <v>3</v>
      </c>
      <c r="I23" s="70">
        <v>3.1</v>
      </c>
      <c r="J23" s="70">
        <v>3.1</v>
      </c>
      <c r="K23" s="57">
        <f t="shared" si="1"/>
        <v>9.1999999999999993</v>
      </c>
    </row>
    <row r="24" spans="1:15" ht="15" hidden="1" customHeight="1" outlineLevel="1">
      <c r="A24" s="90"/>
      <c r="B24" s="93"/>
      <c r="C24" s="4"/>
      <c r="D24" s="9" t="s">
        <v>31</v>
      </c>
      <c r="E24" s="9" t="s">
        <v>40</v>
      </c>
      <c r="F24" s="9" t="s">
        <v>83</v>
      </c>
      <c r="G24" s="8">
        <v>244</v>
      </c>
      <c r="H24" s="71">
        <f>1414.22-105.52-30</f>
        <v>1278.7</v>
      </c>
      <c r="I24" s="70">
        <v>1449</v>
      </c>
      <c r="J24" s="70">
        <v>1649</v>
      </c>
      <c r="K24" s="57">
        <f t="shared" si="1"/>
        <v>4376.7</v>
      </c>
    </row>
    <row r="25" spans="1:15" ht="15" hidden="1" customHeight="1" outlineLevel="1">
      <c r="A25" s="90"/>
      <c r="B25" s="93"/>
      <c r="C25" s="4" t="s">
        <v>71</v>
      </c>
      <c r="D25" s="9" t="s">
        <v>31</v>
      </c>
      <c r="E25" s="9" t="s">
        <v>40</v>
      </c>
      <c r="F25" s="9" t="s">
        <v>84</v>
      </c>
      <c r="G25" s="8">
        <v>244</v>
      </c>
      <c r="H25" s="69">
        <v>652.11599999999999</v>
      </c>
      <c r="I25" s="32">
        <v>784.3</v>
      </c>
      <c r="J25" s="32">
        <v>784.3</v>
      </c>
      <c r="K25" s="36">
        <f t="shared" si="1"/>
        <v>2220.7159999999999</v>
      </c>
    </row>
    <row r="26" spans="1:15" ht="15" hidden="1" customHeight="1" outlineLevel="1">
      <c r="A26" s="90"/>
      <c r="B26" s="93"/>
      <c r="C26" s="4"/>
      <c r="D26" s="9" t="s">
        <v>31</v>
      </c>
      <c r="E26" s="9" t="s">
        <v>40</v>
      </c>
      <c r="F26" s="9" t="s">
        <v>85</v>
      </c>
      <c r="G26" s="8">
        <v>244</v>
      </c>
      <c r="H26" s="69">
        <v>75.363</v>
      </c>
      <c r="I26" s="32">
        <v>0</v>
      </c>
      <c r="J26" s="32">
        <v>0</v>
      </c>
      <c r="K26" s="36">
        <f t="shared" si="1"/>
        <v>75.363</v>
      </c>
    </row>
    <row r="27" spans="1:15" ht="15" hidden="1" customHeight="1" outlineLevel="1">
      <c r="A27" s="90"/>
      <c r="B27" s="93"/>
      <c r="C27" s="4"/>
      <c r="D27" s="9" t="s">
        <v>31</v>
      </c>
      <c r="E27" s="9" t="s">
        <v>40</v>
      </c>
      <c r="F27" s="9" t="s">
        <v>83</v>
      </c>
      <c r="G27" s="8">
        <v>621</v>
      </c>
      <c r="H27" s="71">
        <f>18453.1-722.87-633.32509-45.16</f>
        <v>17051.744910000001</v>
      </c>
      <c r="I27" s="70">
        <v>18359.7</v>
      </c>
      <c r="J27" s="70">
        <v>18557.2</v>
      </c>
      <c r="K27" s="57">
        <f t="shared" si="1"/>
        <v>53968.644910000003</v>
      </c>
    </row>
    <row r="28" spans="1:15" ht="15" hidden="1" customHeight="1" outlineLevel="1">
      <c r="A28" s="90"/>
      <c r="B28" s="93"/>
      <c r="C28" s="4"/>
      <c r="D28" s="9" t="s">
        <v>31</v>
      </c>
      <c r="E28" s="9" t="s">
        <v>40</v>
      </c>
      <c r="F28" s="9" t="s">
        <v>85</v>
      </c>
      <c r="G28" s="8">
        <v>621</v>
      </c>
      <c r="H28" s="69">
        <v>14742.592000000001</v>
      </c>
      <c r="I28" s="32">
        <v>18161</v>
      </c>
      <c r="J28" s="32">
        <v>18161</v>
      </c>
      <c r="K28" s="36">
        <f t="shared" si="1"/>
        <v>51064.592000000004</v>
      </c>
    </row>
    <row r="29" spans="1:15" ht="15" hidden="1" customHeight="1" outlineLevel="1">
      <c r="A29" s="90"/>
      <c r="B29" s="93"/>
      <c r="C29" s="4"/>
      <c r="D29" s="9" t="s">
        <v>31</v>
      </c>
      <c r="E29" s="9" t="s">
        <v>40</v>
      </c>
      <c r="F29" s="9" t="s">
        <v>85</v>
      </c>
      <c r="G29" s="8">
        <v>622</v>
      </c>
      <c r="H29" s="69">
        <v>66</v>
      </c>
      <c r="I29" s="32">
        <v>0</v>
      </c>
      <c r="J29" s="32">
        <v>0</v>
      </c>
      <c r="K29" s="36">
        <f t="shared" si="1"/>
        <v>66</v>
      </c>
    </row>
    <row r="30" spans="1:15" ht="15" hidden="1" customHeight="1" outlineLevel="1">
      <c r="A30" s="90"/>
      <c r="B30" s="93"/>
      <c r="C30" s="4" t="s">
        <v>71</v>
      </c>
      <c r="D30" s="9" t="s">
        <v>31</v>
      </c>
      <c r="E30" s="9" t="s">
        <v>40</v>
      </c>
      <c r="F30" s="9" t="s">
        <v>84</v>
      </c>
      <c r="G30" s="8">
        <v>622</v>
      </c>
      <c r="H30" s="69">
        <v>94.847999999999999</v>
      </c>
      <c r="I30" s="32">
        <v>90</v>
      </c>
      <c r="J30" s="32">
        <v>90</v>
      </c>
      <c r="K30" s="36">
        <f t="shared" si="1"/>
        <v>274.84800000000001</v>
      </c>
    </row>
    <row r="31" spans="1:15" ht="15" hidden="1" customHeight="1" outlineLevel="1">
      <c r="A31" s="90"/>
      <c r="B31" s="93"/>
      <c r="C31" s="4"/>
      <c r="D31" s="9" t="s">
        <v>31</v>
      </c>
      <c r="E31" s="9" t="s">
        <v>40</v>
      </c>
      <c r="F31" s="9" t="s">
        <v>83</v>
      </c>
      <c r="G31" s="8">
        <v>611</v>
      </c>
      <c r="H31" s="71">
        <f>68590.24-4520.71-376.4</f>
        <v>63693.130000000005</v>
      </c>
      <c r="I31" s="70">
        <v>68976.800000000003</v>
      </c>
      <c r="J31" s="70">
        <v>69476.800000000003</v>
      </c>
      <c r="K31" s="57">
        <f t="shared" si="1"/>
        <v>202146.72999999998</v>
      </c>
    </row>
    <row r="32" spans="1:15" ht="15" hidden="1" customHeight="1" outlineLevel="1">
      <c r="A32" s="90"/>
      <c r="B32" s="93"/>
      <c r="C32" s="4"/>
      <c r="D32" s="9" t="s">
        <v>31</v>
      </c>
      <c r="E32" s="9" t="s">
        <v>40</v>
      </c>
      <c r="F32" s="9" t="s">
        <v>85</v>
      </c>
      <c r="G32" s="8">
        <v>611</v>
      </c>
      <c r="H32" s="69">
        <v>67592.735000000001</v>
      </c>
      <c r="I32" s="32">
        <v>68436.3</v>
      </c>
      <c r="J32" s="32">
        <v>68436.3</v>
      </c>
      <c r="K32" s="36">
        <f t="shared" si="1"/>
        <v>204465.33500000002</v>
      </c>
      <c r="M32" s="15">
        <f>H32+H28+H22+H45</f>
        <v>87041.419000000009</v>
      </c>
      <c r="N32" s="15">
        <f>I32+I28+I22+I45</f>
        <v>90807.900000000009</v>
      </c>
    </row>
    <row r="33" spans="1:14" ht="15" hidden="1" customHeight="1" outlineLevel="1">
      <c r="A33" s="90"/>
      <c r="B33" s="93"/>
      <c r="C33" s="4"/>
      <c r="D33" s="9" t="s">
        <v>31</v>
      </c>
      <c r="E33" s="9" t="s">
        <v>40</v>
      </c>
      <c r="F33" s="9" t="s">
        <v>85</v>
      </c>
      <c r="G33" s="8">
        <v>612</v>
      </c>
      <c r="H33" s="69">
        <v>476.52699999999999</v>
      </c>
      <c r="I33" s="32">
        <v>0</v>
      </c>
      <c r="J33" s="32">
        <v>0</v>
      </c>
      <c r="K33" s="36">
        <f t="shared" si="1"/>
        <v>476.52699999999999</v>
      </c>
    </row>
    <row r="34" spans="1:14" ht="15" hidden="1" customHeight="1" outlineLevel="1">
      <c r="A34" s="90"/>
      <c r="B34" s="93"/>
      <c r="C34" s="4"/>
      <c r="D34" s="9" t="s">
        <v>31</v>
      </c>
      <c r="E34" s="9" t="s">
        <v>40</v>
      </c>
      <c r="F34" s="9" t="s">
        <v>126</v>
      </c>
      <c r="G34" s="8">
        <v>612</v>
      </c>
      <c r="H34" s="69">
        <v>362.87900000000002</v>
      </c>
      <c r="I34" s="32">
        <v>0</v>
      </c>
      <c r="J34" s="32">
        <v>0</v>
      </c>
      <c r="K34" s="36">
        <f t="shared" si="1"/>
        <v>362.87900000000002</v>
      </c>
    </row>
    <row r="35" spans="1:14" ht="15" hidden="1" customHeight="1" outlineLevel="1">
      <c r="A35" s="90"/>
      <c r="B35" s="93"/>
      <c r="C35" s="4" t="s">
        <v>71</v>
      </c>
      <c r="D35" s="9" t="s">
        <v>31</v>
      </c>
      <c r="E35" s="9" t="s">
        <v>40</v>
      </c>
      <c r="F35" s="9" t="s">
        <v>84</v>
      </c>
      <c r="G35" s="8">
        <v>612</v>
      </c>
      <c r="H35" s="69">
        <v>367.536</v>
      </c>
      <c r="I35" s="32">
        <v>295.89999999999998</v>
      </c>
      <c r="J35" s="32">
        <v>295.89999999999998</v>
      </c>
      <c r="K35" s="36">
        <f t="shared" si="1"/>
        <v>959.3359999999999</v>
      </c>
      <c r="M35" s="15">
        <f>H35+H30+H25</f>
        <v>1114.5</v>
      </c>
      <c r="N35" s="15">
        <f>I35+I30+I25</f>
        <v>1170.1999999999998</v>
      </c>
    </row>
    <row r="36" spans="1:14" ht="15" hidden="1" customHeight="1" outlineLevel="1">
      <c r="A36" s="90"/>
      <c r="B36" s="93"/>
      <c r="C36" s="4"/>
      <c r="D36" s="9" t="s">
        <v>31</v>
      </c>
      <c r="E36" s="9" t="s">
        <v>40</v>
      </c>
      <c r="F36" s="9" t="s">
        <v>83</v>
      </c>
      <c r="G36" s="8">
        <v>852</v>
      </c>
      <c r="H36" s="71">
        <f>2.1+30</f>
        <v>32.1</v>
      </c>
      <c r="I36" s="70">
        <v>2.2000000000000002</v>
      </c>
      <c r="J36" s="70">
        <v>2.2000000000000002</v>
      </c>
      <c r="K36" s="57">
        <f t="shared" si="1"/>
        <v>36.500000000000007</v>
      </c>
    </row>
    <row r="37" spans="1:14" ht="15" hidden="1" customHeight="1" outlineLevel="1">
      <c r="A37" s="90"/>
      <c r="B37" s="93"/>
      <c r="C37" s="4"/>
      <c r="D37" s="9" t="s">
        <v>31</v>
      </c>
      <c r="E37" s="9" t="s">
        <v>40</v>
      </c>
      <c r="F37" s="9" t="s">
        <v>108</v>
      </c>
      <c r="G37" s="8">
        <v>111</v>
      </c>
      <c r="H37" s="71">
        <v>146.34</v>
      </c>
      <c r="I37" s="70">
        <v>0</v>
      </c>
      <c r="J37" s="70">
        <v>0</v>
      </c>
      <c r="K37" s="57">
        <f t="shared" si="1"/>
        <v>146.34</v>
      </c>
    </row>
    <row r="38" spans="1:14" ht="15" hidden="1" customHeight="1" outlineLevel="1">
      <c r="A38" s="90"/>
      <c r="B38" s="93"/>
      <c r="C38" s="4"/>
      <c r="D38" s="9" t="s">
        <v>31</v>
      </c>
      <c r="E38" s="9" t="s">
        <v>40</v>
      </c>
      <c r="F38" s="9" t="s">
        <v>108</v>
      </c>
      <c r="G38" s="8">
        <v>611</v>
      </c>
      <c r="H38" s="71">
        <v>2600</v>
      </c>
      <c r="I38" s="70">
        <v>0</v>
      </c>
      <c r="J38" s="70">
        <v>0</v>
      </c>
      <c r="K38" s="57">
        <f t="shared" si="1"/>
        <v>2600</v>
      </c>
    </row>
    <row r="39" spans="1:14" ht="15" hidden="1" customHeight="1" outlineLevel="1">
      <c r="A39" s="90"/>
      <c r="B39" s="93"/>
      <c r="C39" s="4"/>
      <c r="D39" s="9" t="s">
        <v>31</v>
      </c>
      <c r="E39" s="9" t="s">
        <v>40</v>
      </c>
      <c r="F39" s="9" t="s">
        <v>108</v>
      </c>
      <c r="G39" s="8">
        <v>621</v>
      </c>
      <c r="H39" s="71">
        <v>685.67100000000005</v>
      </c>
      <c r="I39" s="70">
        <v>0</v>
      </c>
      <c r="J39" s="70">
        <v>0</v>
      </c>
      <c r="K39" s="57">
        <f t="shared" si="1"/>
        <v>685.67100000000005</v>
      </c>
    </row>
    <row r="40" spans="1:14" ht="15" hidden="1" customHeight="1" outlineLevel="1">
      <c r="A40" s="90"/>
      <c r="B40" s="93"/>
      <c r="C40" s="4"/>
      <c r="D40" s="9" t="s">
        <v>31</v>
      </c>
      <c r="E40" s="9" t="s">
        <v>40</v>
      </c>
      <c r="F40" s="9" t="s">
        <v>76</v>
      </c>
      <c r="G40" s="8"/>
      <c r="H40" s="31">
        <f>431.199+157.953+314.908</f>
        <v>904.06000000000006</v>
      </c>
      <c r="I40" s="31">
        <v>0</v>
      </c>
      <c r="J40" s="31">
        <v>0</v>
      </c>
      <c r="K40" s="36">
        <f t="shared" si="1"/>
        <v>904.06000000000006</v>
      </c>
    </row>
    <row r="41" spans="1:14" ht="15" hidden="1" customHeight="1" outlineLevel="1">
      <c r="A41" s="90"/>
      <c r="B41" s="93"/>
      <c r="C41" s="4"/>
      <c r="D41" s="9" t="s">
        <v>31</v>
      </c>
      <c r="E41" s="9" t="s">
        <v>40</v>
      </c>
      <c r="F41" s="9" t="s">
        <v>77</v>
      </c>
      <c r="G41" s="8"/>
      <c r="H41" s="31">
        <v>19759.8</v>
      </c>
      <c r="I41" s="31">
        <v>20241.7</v>
      </c>
      <c r="J41" s="31">
        <v>19241.7</v>
      </c>
      <c r="K41" s="36">
        <f t="shared" si="1"/>
        <v>59243.199999999997</v>
      </c>
    </row>
    <row r="42" spans="1:14" ht="15" hidden="1" customHeight="1" outlineLevel="1">
      <c r="A42" s="90"/>
      <c r="B42" s="93"/>
      <c r="C42" s="4"/>
      <c r="D42" s="9" t="s">
        <v>31</v>
      </c>
      <c r="E42" s="9" t="s">
        <v>37</v>
      </c>
      <c r="F42" s="9" t="s">
        <v>90</v>
      </c>
      <c r="G42" s="8">
        <v>622</v>
      </c>
      <c r="H42" s="71">
        <f>40590+15000</f>
        <v>55590</v>
      </c>
      <c r="I42" s="56">
        <v>0</v>
      </c>
      <c r="J42" s="56">
        <v>0</v>
      </c>
      <c r="K42" s="57">
        <f t="shared" si="1"/>
        <v>55590</v>
      </c>
    </row>
    <row r="43" spans="1:14" ht="15" hidden="1" customHeight="1" outlineLevel="1">
      <c r="A43" s="90"/>
      <c r="B43" s="93"/>
      <c r="C43" s="4"/>
      <c r="D43" s="9" t="s">
        <v>31</v>
      </c>
      <c r="E43" s="9" t="s">
        <v>41</v>
      </c>
      <c r="F43" s="9" t="s">
        <v>83</v>
      </c>
      <c r="G43" s="8">
        <v>111</v>
      </c>
      <c r="H43" s="71">
        <v>3108.97</v>
      </c>
      <c r="I43" s="70">
        <v>3458.1</v>
      </c>
      <c r="J43" s="70">
        <v>3458.1</v>
      </c>
      <c r="K43" s="57">
        <f t="shared" si="1"/>
        <v>10025.17</v>
      </c>
    </row>
    <row r="44" spans="1:14" ht="15" hidden="1" customHeight="1" outlineLevel="1">
      <c r="A44" s="90"/>
      <c r="B44" s="93"/>
      <c r="C44" s="4"/>
      <c r="D44" s="9" t="s">
        <v>31</v>
      </c>
      <c r="E44" s="9" t="s">
        <v>41</v>
      </c>
      <c r="F44" s="9" t="s">
        <v>87</v>
      </c>
      <c r="G44" s="8">
        <v>111</v>
      </c>
      <c r="H44" s="71">
        <v>6219.3289999999997</v>
      </c>
      <c r="I44" s="56">
        <v>5759</v>
      </c>
      <c r="J44" s="56">
        <v>5759</v>
      </c>
      <c r="K44" s="57">
        <f t="shared" si="1"/>
        <v>17737.328999999998</v>
      </c>
    </row>
    <row r="45" spans="1:14" ht="15" hidden="1" customHeight="1" outlineLevel="1">
      <c r="A45" s="90"/>
      <c r="B45" s="93"/>
      <c r="C45" s="4"/>
      <c r="D45" s="9" t="s">
        <v>31</v>
      </c>
      <c r="E45" s="9" t="s">
        <v>41</v>
      </c>
      <c r="F45" s="9" t="s">
        <v>85</v>
      </c>
      <c r="G45" s="8">
        <v>111</v>
      </c>
      <c r="H45" s="69">
        <v>600.61900000000003</v>
      </c>
      <c r="I45" s="32">
        <v>578.6</v>
      </c>
      <c r="J45" s="32">
        <v>578.6</v>
      </c>
      <c r="K45" s="36">
        <f t="shared" si="1"/>
        <v>1757.819</v>
      </c>
    </row>
    <row r="46" spans="1:14" ht="15" hidden="1" customHeight="1" outlineLevel="1">
      <c r="A46" s="90"/>
      <c r="B46" s="93"/>
      <c r="C46" s="4"/>
      <c r="D46" s="9" t="s">
        <v>31</v>
      </c>
      <c r="E46" s="9" t="s">
        <v>41</v>
      </c>
      <c r="F46" s="9" t="s">
        <v>85</v>
      </c>
      <c r="G46" s="8">
        <v>244</v>
      </c>
      <c r="H46" s="69">
        <v>17.390999999999998</v>
      </c>
      <c r="I46" s="32">
        <v>0</v>
      </c>
      <c r="J46" s="32">
        <v>0</v>
      </c>
      <c r="K46" s="36">
        <f t="shared" si="1"/>
        <v>17.390999999999998</v>
      </c>
    </row>
    <row r="47" spans="1:14" ht="15" hidden="1" customHeight="1" outlineLevel="1">
      <c r="A47" s="90"/>
      <c r="B47" s="93"/>
      <c r="C47" s="4"/>
      <c r="D47" s="9" t="s">
        <v>31</v>
      </c>
      <c r="E47" s="9" t="s">
        <v>41</v>
      </c>
      <c r="F47" s="9" t="s">
        <v>83</v>
      </c>
      <c r="G47" s="8">
        <v>112</v>
      </c>
      <c r="H47" s="71">
        <v>6.04</v>
      </c>
      <c r="I47" s="70">
        <v>6.2</v>
      </c>
      <c r="J47" s="70">
        <v>6.2</v>
      </c>
      <c r="K47" s="57">
        <f t="shared" si="1"/>
        <v>18.440000000000001</v>
      </c>
    </row>
    <row r="48" spans="1:14" ht="15" hidden="1" customHeight="1" outlineLevel="1">
      <c r="A48" s="90"/>
      <c r="B48" s="93"/>
      <c r="C48" s="4"/>
      <c r="D48" s="9" t="s">
        <v>31</v>
      </c>
      <c r="E48" s="9" t="s">
        <v>41</v>
      </c>
      <c r="F48" s="9" t="s">
        <v>87</v>
      </c>
      <c r="G48" s="8">
        <v>112</v>
      </c>
      <c r="H48" s="71">
        <v>30.75</v>
      </c>
      <c r="I48" s="56">
        <v>17.3</v>
      </c>
      <c r="J48" s="56">
        <v>17.3</v>
      </c>
      <c r="K48" s="57">
        <f t="shared" si="1"/>
        <v>65.349999999999994</v>
      </c>
    </row>
    <row r="49" spans="1:14" ht="15" hidden="1" customHeight="1" outlineLevel="1">
      <c r="A49" s="90"/>
      <c r="B49" s="93"/>
      <c r="C49" s="4"/>
      <c r="D49" s="9" t="s">
        <v>31</v>
      </c>
      <c r="E49" s="9" t="s">
        <v>41</v>
      </c>
      <c r="F49" s="9" t="s">
        <v>83</v>
      </c>
      <c r="G49" s="8">
        <v>244</v>
      </c>
      <c r="H49" s="71">
        <v>4721.16</v>
      </c>
      <c r="I49" s="70">
        <v>4614.5</v>
      </c>
      <c r="J49" s="70">
        <v>4714.5</v>
      </c>
      <c r="K49" s="57">
        <f t="shared" si="1"/>
        <v>14050.16</v>
      </c>
    </row>
    <row r="50" spans="1:14" ht="15" hidden="1" customHeight="1" outlineLevel="1">
      <c r="A50" s="90"/>
      <c r="B50" s="93"/>
      <c r="C50" s="4"/>
      <c r="D50" s="9" t="s">
        <v>31</v>
      </c>
      <c r="E50" s="9" t="s">
        <v>41</v>
      </c>
      <c r="F50" s="9" t="s">
        <v>87</v>
      </c>
      <c r="G50" s="8">
        <v>244</v>
      </c>
      <c r="H50" s="71">
        <v>291.91300000000001</v>
      </c>
      <c r="I50" s="56">
        <v>277.39999999999998</v>
      </c>
      <c r="J50" s="56">
        <v>277.39999999999998</v>
      </c>
      <c r="K50" s="57">
        <f t="shared" si="1"/>
        <v>846.71299999999997</v>
      </c>
    </row>
    <row r="51" spans="1:14" ht="15" hidden="1" customHeight="1" outlineLevel="1">
      <c r="A51" s="90"/>
      <c r="B51" s="93"/>
      <c r="C51" s="4"/>
      <c r="D51" s="9" t="s">
        <v>31</v>
      </c>
      <c r="E51" s="9" t="s">
        <v>75</v>
      </c>
      <c r="F51" s="9" t="s">
        <v>97</v>
      </c>
      <c r="G51" s="8">
        <v>244</v>
      </c>
      <c r="H51" s="71">
        <v>2083.9850000000001</v>
      </c>
      <c r="I51" s="56">
        <v>554.1</v>
      </c>
      <c r="J51" s="56">
        <v>554.1</v>
      </c>
      <c r="K51" s="57">
        <f t="shared" si="1"/>
        <v>3192.1849999999999</v>
      </c>
    </row>
    <row r="52" spans="1:14" ht="15" hidden="1" customHeight="1" outlineLevel="1">
      <c r="A52" s="90"/>
      <c r="B52" s="93"/>
      <c r="C52" s="4"/>
      <c r="D52" s="9" t="s">
        <v>31</v>
      </c>
      <c r="E52" s="9" t="s">
        <v>42</v>
      </c>
      <c r="F52" s="9" t="s">
        <v>96</v>
      </c>
      <c r="G52" s="8">
        <v>244</v>
      </c>
      <c r="H52" s="71">
        <v>125.294</v>
      </c>
      <c r="I52" s="56">
        <v>134.6</v>
      </c>
      <c r="J52" s="56">
        <v>134.6</v>
      </c>
      <c r="K52" s="57">
        <f t="shared" si="1"/>
        <v>394.49400000000003</v>
      </c>
    </row>
    <row r="53" spans="1:14" ht="15" hidden="1" customHeight="1" outlineLevel="1">
      <c r="A53" s="90"/>
      <c r="B53" s="93"/>
      <c r="C53" s="4"/>
      <c r="D53" s="9" t="s">
        <v>31</v>
      </c>
      <c r="E53" s="9" t="s">
        <v>42</v>
      </c>
      <c r="F53" s="9" t="s">
        <v>110</v>
      </c>
      <c r="G53" s="8">
        <v>244</v>
      </c>
      <c r="H53" s="71">
        <v>1.6706700000000001</v>
      </c>
      <c r="I53" s="56">
        <v>0</v>
      </c>
      <c r="J53" s="56">
        <v>0</v>
      </c>
      <c r="K53" s="57">
        <f t="shared" si="1"/>
        <v>1.6706700000000001</v>
      </c>
    </row>
    <row r="54" spans="1:14" ht="15" hidden="1" customHeight="1" outlineLevel="1">
      <c r="A54" s="90"/>
      <c r="B54" s="93"/>
      <c r="C54" s="4" t="s">
        <v>113</v>
      </c>
      <c r="D54" s="9" t="s">
        <v>31</v>
      </c>
      <c r="E54" s="9" t="s">
        <v>37</v>
      </c>
      <c r="F54" s="9" t="s">
        <v>90</v>
      </c>
      <c r="G54" s="8">
        <v>244</v>
      </c>
      <c r="H54" s="71">
        <v>3350.55206</v>
      </c>
      <c r="I54" s="56">
        <v>0</v>
      </c>
      <c r="J54" s="56">
        <v>0</v>
      </c>
      <c r="K54" s="57">
        <f t="shared" si="1"/>
        <v>3350.55206</v>
      </c>
    </row>
    <row r="55" spans="1:14" ht="15" hidden="1" customHeight="1" outlineLevel="1">
      <c r="A55" s="90"/>
      <c r="B55" s="93"/>
      <c r="C55" s="4"/>
      <c r="D55" s="9" t="s">
        <v>31</v>
      </c>
      <c r="E55" s="9" t="s">
        <v>41</v>
      </c>
      <c r="F55" s="9" t="s">
        <v>83</v>
      </c>
      <c r="G55" s="8">
        <v>611</v>
      </c>
      <c r="H55" s="71">
        <f>61606.91-2369.8-78.76228-297.2</f>
        <v>58861.147720000001</v>
      </c>
      <c r="I55" s="70">
        <v>61647</v>
      </c>
      <c r="J55" s="70">
        <v>61647</v>
      </c>
      <c r="K55" s="57">
        <f t="shared" si="1"/>
        <v>182155.14772000001</v>
      </c>
    </row>
    <row r="56" spans="1:14" ht="15" hidden="1" customHeight="1" outlineLevel="1">
      <c r="A56" s="90"/>
      <c r="B56" s="93"/>
      <c r="C56" s="4"/>
      <c r="D56" s="9" t="s">
        <v>31</v>
      </c>
      <c r="E56" s="9" t="s">
        <v>41</v>
      </c>
      <c r="F56" s="9" t="s">
        <v>83</v>
      </c>
      <c r="G56" s="8">
        <v>612</v>
      </c>
      <c r="H56" s="71">
        <f>300</f>
        <v>300</v>
      </c>
      <c r="I56" s="70">
        <v>0</v>
      </c>
      <c r="J56" s="70">
        <v>0</v>
      </c>
      <c r="K56" s="57">
        <f t="shared" si="1"/>
        <v>300</v>
      </c>
    </row>
    <row r="57" spans="1:14" ht="15" hidden="1" customHeight="1" outlineLevel="1">
      <c r="A57" s="90"/>
      <c r="B57" s="93"/>
      <c r="C57" s="4"/>
      <c r="D57" s="9" t="s">
        <v>31</v>
      </c>
      <c r="E57" s="9" t="s">
        <v>41</v>
      </c>
      <c r="F57" s="9" t="s">
        <v>87</v>
      </c>
      <c r="G57" s="8">
        <v>611</v>
      </c>
      <c r="H57" s="71">
        <f>119429.639</f>
        <v>119429.639</v>
      </c>
      <c r="I57" s="56">
        <v>127036.6</v>
      </c>
      <c r="J57" s="56">
        <v>127036.6</v>
      </c>
      <c r="K57" s="57">
        <f t="shared" si="1"/>
        <v>373502.83900000004</v>
      </c>
      <c r="M57" s="15">
        <f>H57+H59+H50+H48+H44+H70+H71</f>
        <v>156242.5</v>
      </c>
      <c r="N57" s="15">
        <f>I57+I59+I70+I71+I44+I48+I50</f>
        <v>162030.79999999999</v>
      </c>
    </row>
    <row r="58" spans="1:14" ht="15" hidden="1" customHeight="1" outlineLevel="1">
      <c r="A58" s="90"/>
      <c r="B58" s="93"/>
      <c r="C58" s="4"/>
      <c r="D58" s="9" t="s">
        <v>31</v>
      </c>
      <c r="E58" s="9" t="s">
        <v>41</v>
      </c>
      <c r="F58" s="9" t="s">
        <v>126</v>
      </c>
      <c r="G58" s="8">
        <v>612</v>
      </c>
      <c r="H58" s="71">
        <f>637.121</f>
        <v>637.12099999999998</v>
      </c>
      <c r="I58" s="70">
        <v>0</v>
      </c>
      <c r="J58" s="70">
        <v>0</v>
      </c>
      <c r="K58" s="57">
        <f t="shared" ref="K58" si="3">SUM(H58:J58)</f>
        <v>637.12099999999998</v>
      </c>
    </row>
    <row r="59" spans="1:14" ht="15" hidden="1" customHeight="1" outlineLevel="1">
      <c r="A59" s="90"/>
      <c r="B59" s="93"/>
      <c r="C59" s="4"/>
      <c r="D59" s="9" t="s">
        <v>31</v>
      </c>
      <c r="E59" s="9" t="s">
        <v>41</v>
      </c>
      <c r="F59" s="9" t="s">
        <v>87</v>
      </c>
      <c r="G59" s="8">
        <v>612</v>
      </c>
      <c r="H59" s="71">
        <v>2185.6950000000002</v>
      </c>
      <c r="I59" s="56">
        <v>1221.5999999999999</v>
      </c>
      <c r="J59" s="56">
        <v>1221.5999999999999</v>
      </c>
      <c r="K59" s="57">
        <f t="shared" si="1"/>
        <v>4628.8950000000004</v>
      </c>
    </row>
    <row r="60" spans="1:14" ht="15" hidden="1" customHeight="1" outlineLevel="1">
      <c r="A60" s="90"/>
      <c r="B60" s="93"/>
      <c r="C60" s="4"/>
      <c r="D60" s="9" t="s">
        <v>31</v>
      </c>
      <c r="E60" s="9"/>
      <c r="F60" s="9"/>
      <c r="G60" s="8"/>
      <c r="H60" s="30"/>
      <c r="I60" s="30"/>
      <c r="J60" s="30"/>
      <c r="K60" s="36">
        <f t="shared" si="1"/>
        <v>0</v>
      </c>
    </row>
    <row r="61" spans="1:14" ht="15" hidden="1" customHeight="1" outlineLevel="1">
      <c r="A61" s="90"/>
      <c r="B61" s="93"/>
      <c r="C61" s="4"/>
      <c r="D61" s="9" t="s">
        <v>31</v>
      </c>
      <c r="E61" s="9"/>
      <c r="F61" s="9"/>
      <c r="G61" s="8"/>
      <c r="H61" s="30"/>
      <c r="I61" s="30"/>
      <c r="J61" s="30"/>
      <c r="K61" s="36">
        <f t="shared" si="1"/>
        <v>0</v>
      </c>
    </row>
    <row r="62" spans="1:14" ht="15" hidden="1" customHeight="1" outlineLevel="1">
      <c r="A62" s="90"/>
      <c r="B62" s="93"/>
      <c r="C62" s="4"/>
      <c r="D62" s="9" t="s">
        <v>31</v>
      </c>
      <c r="E62" s="9" t="s">
        <v>75</v>
      </c>
      <c r="F62" s="9" t="s">
        <v>97</v>
      </c>
      <c r="G62" s="8">
        <v>612</v>
      </c>
      <c r="H62" s="69">
        <v>6028.6310000000003</v>
      </c>
      <c r="I62" s="32">
        <v>7904.9</v>
      </c>
      <c r="J62" s="32">
        <v>7904.9</v>
      </c>
      <c r="K62" s="36">
        <f t="shared" si="1"/>
        <v>21838.430999999997</v>
      </c>
    </row>
    <row r="63" spans="1:14" ht="15" hidden="1" customHeight="1" outlineLevel="1">
      <c r="A63" s="90"/>
      <c r="B63" s="93"/>
      <c r="C63" s="4"/>
      <c r="D63" s="9" t="s">
        <v>31</v>
      </c>
      <c r="E63" s="9" t="s">
        <v>42</v>
      </c>
      <c r="F63" s="9" t="s">
        <v>96</v>
      </c>
      <c r="G63" s="8">
        <v>612</v>
      </c>
      <c r="H63" s="69">
        <v>1200.2550000000001</v>
      </c>
      <c r="I63" s="32">
        <v>1167.5999999999999</v>
      </c>
      <c r="J63" s="32">
        <v>1167.5999999999999</v>
      </c>
      <c r="K63" s="36">
        <f t="shared" si="1"/>
        <v>3535.4549999999999</v>
      </c>
    </row>
    <row r="64" spans="1:14" ht="15" hidden="1" customHeight="1" outlineLevel="1">
      <c r="A64" s="90"/>
      <c r="B64" s="93"/>
      <c r="C64" s="4"/>
      <c r="D64" s="9" t="s">
        <v>31</v>
      </c>
      <c r="E64" s="54" t="s">
        <v>40</v>
      </c>
      <c r="F64" s="54" t="s">
        <v>107</v>
      </c>
      <c r="G64" s="55">
        <v>111</v>
      </c>
      <c r="H64" s="69">
        <v>337.71600000000001</v>
      </c>
      <c r="I64" s="32">
        <v>0</v>
      </c>
      <c r="J64" s="32">
        <v>0</v>
      </c>
      <c r="K64" s="36">
        <f t="shared" si="1"/>
        <v>337.71600000000001</v>
      </c>
    </row>
    <row r="65" spans="1:14" ht="15" hidden="1" customHeight="1" outlineLevel="1">
      <c r="A65" s="90"/>
      <c r="B65" s="93"/>
      <c r="C65" s="4"/>
      <c r="D65" s="9" t="s">
        <v>31</v>
      </c>
      <c r="E65" s="54" t="s">
        <v>40</v>
      </c>
      <c r="F65" s="54" t="s">
        <v>107</v>
      </c>
      <c r="G65" s="55">
        <v>612</v>
      </c>
      <c r="H65" s="69">
        <v>4834.3879999999999</v>
      </c>
      <c r="I65" s="32">
        <v>0</v>
      </c>
      <c r="J65" s="32">
        <v>0</v>
      </c>
      <c r="K65" s="36">
        <f t="shared" si="1"/>
        <v>4834.3879999999999</v>
      </c>
    </row>
    <row r="66" spans="1:14" ht="15" hidden="1" customHeight="1" outlineLevel="1">
      <c r="A66" s="90"/>
      <c r="B66" s="93"/>
      <c r="C66" s="4"/>
      <c r="D66" s="9" t="s">
        <v>31</v>
      </c>
      <c r="E66" s="54" t="s">
        <v>40</v>
      </c>
      <c r="F66" s="54" t="s">
        <v>107</v>
      </c>
      <c r="G66" s="55">
        <v>622</v>
      </c>
      <c r="H66" s="69">
        <v>1076.0029999999999</v>
      </c>
      <c r="I66" s="32">
        <v>0</v>
      </c>
      <c r="J66" s="32">
        <v>0</v>
      </c>
      <c r="K66" s="36">
        <f t="shared" si="1"/>
        <v>1076.0029999999999</v>
      </c>
    </row>
    <row r="67" spans="1:14" ht="15" hidden="1" customHeight="1" outlineLevel="1">
      <c r="A67" s="90"/>
      <c r="B67" s="93"/>
      <c r="C67" s="4"/>
      <c r="D67" s="9" t="s">
        <v>31</v>
      </c>
      <c r="E67" s="54" t="s">
        <v>41</v>
      </c>
      <c r="F67" s="54" t="s">
        <v>107</v>
      </c>
      <c r="G67" s="55">
        <v>111</v>
      </c>
      <c r="H67" s="69">
        <v>70.712999999999994</v>
      </c>
      <c r="I67" s="32">
        <v>0</v>
      </c>
      <c r="J67" s="32">
        <v>0</v>
      </c>
      <c r="K67" s="36">
        <f t="shared" si="1"/>
        <v>70.712999999999994</v>
      </c>
    </row>
    <row r="68" spans="1:14" ht="15" hidden="1" customHeight="1" outlineLevel="1">
      <c r="A68" s="90"/>
      <c r="B68" s="93"/>
      <c r="C68" s="4"/>
      <c r="D68" s="9" t="s">
        <v>31</v>
      </c>
      <c r="E68" s="54" t="s">
        <v>41</v>
      </c>
      <c r="F68" s="54" t="s">
        <v>107</v>
      </c>
      <c r="G68" s="55">
        <v>612</v>
      </c>
      <c r="H68" s="69">
        <v>8.98</v>
      </c>
      <c r="I68" s="32">
        <v>0</v>
      </c>
      <c r="J68" s="32">
        <v>0</v>
      </c>
      <c r="K68" s="36">
        <f t="shared" si="1"/>
        <v>8.98</v>
      </c>
    </row>
    <row r="69" spans="1:14" ht="15" hidden="1" customHeight="1" outlineLevel="1">
      <c r="A69" s="90"/>
      <c r="B69" s="93"/>
      <c r="C69" s="4"/>
      <c r="D69" s="9" t="s">
        <v>31</v>
      </c>
      <c r="E69" s="9" t="s">
        <v>41</v>
      </c>
      <c r="F69" s="9" t="s">
        <v>83</v>
      </c>
      <c r="G69" s="8">
        <v>621</v>
      </c>
      <c r="H69" s="71">
        <f>12535.77-711.9-300</f>
        <v>11523.87</v>
      </c>
      <c r="I69" s="70">
        <v>12482.2</v>
      </c>
      <c r="J69" s="70">
        <v>12482.2</v>
      </c>
      <c r="K69" s="57">
        <f t="shared" ref="K69:K77" si="4">SUM(H69:J69)</f>
        <v>36488.270000000004</v>
      </c>
    </row>
    <row r="70" spans="1:14" ht="15" hidden="1" customHeight="1" outlineLevel="1">
      <c r="A70" s="90"/>
      <c r="B70" s="93"/>
      <c r="C70" s="4"/>
      <c r="D70" s="9" t="s">
        <v>31</v>
      </c>
      <c r="E70" s="9" t="s">
        <v>41</v>
      </c>
      <c r="F70" s="9" t="s">
        <v>87</v>
      </c>
      <c r="G70" s="8">
        <v>621</v>
      </c>
      <c r="H70" s="71">
        <v>27553.594000000001</v>
      </c>
      <c r="I70" s="56">
        <v>27319.5</v>
      </c>
      <c r="J70" s="56">
        <v>27319.5</v>
      </c>
      <c r="K70" s="57">
        <f t="shared" si="4"/>
        <v>82192.593999999997</v>
      </c>
    </row>
    <row r="71" spans="1:14" ht="15" hidden="1" customHeight="1" outlineLevel="1">
      <c r="A71" s="90"/>
      <c r="B71" s="93"/>
      <c r="C71" s="4"/>
      <c r="D71" s="9" t="s">
        <v>31</v>
      </c>
      <c r="E71" s="9" t="s">
        <v>41</v>
      </c>
      <c r="F71" s="9" t="s">
        <v>87</v>
      </c>
      <c r="G71" s="8">
        <v>622</v>
      </c>
      <c r="H71" s="71">
        <v>531.58000000000004</v>
      </c>
      <c r="I71" s="56">
        <v>399.4</v>
      </c>
      <c r="J71" s="56">
        <v>399.4</v>
      </c>
      <c r="K71" s="57">
        <f t="shared" si="4"/>
        <v>1330.38</v>
      </c>
    </row>
    <row r="72" spans="1:14" ht="15" hidden="1" customHeight="1" outlineLevel="1">
      <c r="A72" s="90"/>
      <c r="B72" s="93"/>
      <c r="C72" s="4"/>
      <c r="D72" s="9" t="s">
        <v>31</v>
      </c>
      <c r="E72" s="9" t="s">
        <v>37</v>
      </c>
      <c r="F72" s="9" t="s">
        <v>95</v>
      </c>
      <c r="G72" s="8">
        <v>244</v>
      </c>
      <c r="H72" s="71">
        <v>405.35</v>
      </c>
      <c r="I72" s="70">
        <v>0</v>
      </c>
      <c r="J72" s="70">
        <v>0</v>
      </c>
      <c r="K72" s="57">
        <f t="shared" si="4"/>
        <v>405.35</v>
      </c>
    </row>
    <row r="73" spans="1:14" ht="15" hidden="1" customHeight="1" outlineLevel="1">
      <c r="A73" s="90"/>
      <c r="B73" s="93"/>
      <c r="C73" s="4"/>
      <c r="D73" s="9" t="s">
        <v>31</v>
      </c>
      <c r="E73" s="9" t="s">
        <v>37</v>
      </c>
      <c r="F73" s="9" t="s">
        <v>95</v>
      </c>
      <c r="G73" s="8">
        <v>612</v>
      </c>
      <c r="H73" s="71">
        <v>405.35</v>
      </c>
      <c r="I73" s="70">
        <v>0</v>
      </c>
      <c r="J73" s="70">
        <v>0</v>
      </c>
      <c r="K73" s="57">
        <f t="shared" si="4"/>
        <v>405.35</v>
      </c>
    </row>
    <row r="74" spans="1:14" ht="15" hidden="1" customHeight="1" outlineLevel="1">
      <c r="A74" s="90"/>
      <c r="B74" s="93"/>
      <c r="C74" s="4"/>
      <c r="D74" s="9" t="s">
        <v>31</v>
      </c>
      <c r="E74" s="9" t="s">
        <v>37</v>
      </c>
      <c r="F74" s="9" t="s">
        <v>95</v>
      </c>
      <c r="G74" s="8">
        <v>622</v>
      </c>
      <c r="H74" s="71">
        <v>6010</v>
      </c>
      <c r="I74" s="70">
        <v>0</v>
      </c>
      <c r="J74" s="70">
        <v>0</v>
      </c>
      <c r="K74" s="57">
        <f t="shared" si="4"/>
        <v>6010</v>
      </c>
    </row>
    <row r="75" spans="1:14" ht="15" hidden="1" customHeight="1" outlineLevel="1">
      <c r="A75" s="90"/>
      <c r="B75" s="93"/>
      <c r="C75" s="4"/>
      <c r="D75" s="9" t="s">
        <v>31</v>
      </c>
      <c r="E75" s="9" t="s">
        <v>75</v>
      </c>
      <c r="F75" s="9" t="s">
        <v>97</v>
      </c>
      <c r="G75" s="8">
        <v>622</v>
      </c>
      <c r="H75" s="69">
        <v>734.18399999999997</v>
      </c>
      <c r="I75" s="32">
        <v>789.8</v>
      </c>
      <c r="J75" s="32">
        <v>789.8</v>
      </c>
      <c r="K75" s="36">
        <f t="shared" si="4"/>
        <v>2313.7839999999997</v>
      </c>
      <c r="M75" s="15">
        <f>H75+H62+H51</f>
        <v>8846.8000000000011</v>
      </c>
      <c r="N75" s="15">
        <f>I75+I62+I51</f>
        <v>9248.7999999999993</v>
      </c>
    </row>
    <row r="76" spans="1:14" ht="15" hidden="1" customHeight="1" outlineLevel="1">
      <c r="A76" s="90"/>
      <c r="B76" s="93"/>
      <c r="C76" s="4"/>
      <c r="D76" s="9" t="s">
        <v>31</v>
      </c>
      <c r="E76" s="9" t="s">
        <v>42</v>
      </c>
      <c r="F76" s="9" t="s">
        <v>96</v>
      </c>
      <c r="G76" s="8">
        <v>622</v>
      </c>
      <c r="H76" s="69">
        <v>135.68100000000001</v>
      </c>
      <c r="I76" s="32">
        <v>131.5</v>
      </c>
      <c r="J76" s="32">
        <v>131.5</v>
      </c>
      <c r="K76" s="36">
        <f t="shared" si="4"/>
        <v>398.68100000000004</v>
      </c>
    </row>
    <row r="77" spans="1:14" ht="15" hidden="1" customHeight="1" outlineLevel="1">
      <c r="A77" s="90"/>
      <c r="B77" s="93"/>
      <c r="C77" s="4"/>
      <c r="D77" s="9" t="s">
        <v>31</v>
      </c>
      <c r="E77" s="9" t="s">
        <v>41</v>
      </c>
      <c r="F77" s="9" t="s">
        <v>83</v>
      </c>
      <c r="G77" s="8">
        <v>852</v>
      </c>
      <c r="H77" s="71">
        <v>0.6</v>
      </c>
      <c r="I77" s="70">
        <v>0.7</v>
      </c>
      <c r="J77" s="70">
        <v>0.7</v>
      </c>
      <c r="K77" s="57">
        <f t="shared" si="4"/>
        <v>1.9999999999999998</v>
      </c>
    </row>
    <row r="78" spans="1:14" ht="15" hidden="1" customHeight="1" outlineLevel="1">
      <c r="A78" s="90"/>
      <c r="B78" s="93"/>
      <c r="C78" s="4"/>
      <c r="D78" s="9" t="s">
        <v>31</v>
      </c>
      <c r="E78" s="9" t="s">
        <v>41</v>
      </c>
      <c r="F78" s="9" t="s">
        <v>108</v>
      </c>
      <c r="G78" s="8">
        <v>111</v>
      </c>
      <c r="H78" s="69">
        <f>363.29+109.74</f>
        <v>473.03000000000003</v>
      </c>
      <c r="I78" s="30">
        <v>0</v>
      </c>
      <c r="J78" s="30">
        <v>0</v>
      </c>
      <c r="K78" s="36">
        <f t="shared" si="1"/>
        <v>473.03000000000003</v>
      </c>
    </row>
    <row r="79" spans="1:14" ht="15" hidden="1" customHeight="1" outlineLevel="1">
      <c r="A79" s="90"/>
      <c r="B79" s="93"/>
      <c r="C79" s="5"/>
      <c r="D79" s="9" t="s">
        <v>31</v>
      </c>
      <c r="E79" s="9" t="s">
        <v>41</v>
      </c>
      <c r="F79" s="9" t="s">
        <v>108</v>
      </c>
      <c r="G79" s="8">
        <v>611</v>
      </c>
      <c r="H79" s="69">
        <v>2270</v>
      </c>
      <c r="I79" s="30">
        <v>0</v>
      </c>
      <c r="J79" s="30">
        <v>0</v>
      </c>
      <c r="K79" s="36">
        <f t="shared" si="1"/>
        <v>2270</v>
      </c>
    </row>
    <row r="80" spans="1:14" ht="15" hidden="1" customHeight="1" outlineLevel="1">
      <c r="A80" s="90"/>
      <c r="B80" s="93"/>
      <c r="C80" s="5"/>
      <c r="D80" s="9" t="s">
        <v>31</v>
      </c>
      <c r="E80" s="9" t="s">
        <v>41</v>
      </c>
      <c r="F80" s="9" t="s">
        <v>108</v>
      </c>
      <c r="G80" s="8">
        <v>621</v>
      </c>
      <c r="H80" s="69">
        <v>480</v>
      </c>
      <c r="I80" s="30">
        <v>0</v>
      </c>
      <c r="J80" s="30">
        <v>0</v>
      </c>
      <c r="K80" s="36">
        <f t="shared" si="1"/>
        <v>480</v>
      </c>
    </row>
    <row r="81" spans="1:14" ht="15" hidden="1" customHeight="1" outlineLevel="1">
      <c r="A81" s="90"/>
      <c r="B81" s="93"/>
      <c r="C81" s="5"/>
      <c r="D81" s="9" t="s">
        <v>31</v>
      </c>
      <c r="E81" s="9"/>
      <c r="F81" s="9"/>
      <c r="G81" s="8"/>
      <c r="H81" s="30"/>
      <c r="I81" s="30"/>
      <c r="J81" s="30"/>
      <c r="K81" s="36">
        <f t="shared" si="1"/>
        <v>0</v>
      </c>
    </row>
    <row r="82" spans="1:14" ht="15" hidden="1" customHeight="1" outlineLevel="1">
      <c r="A82" s="90"/>
      <c r="B82" s="93"/>
      <c r="C82" s="5"/>
      <c r="D82" s="9" t="s">
        <v>31</v>
      </c>
      <c r="E82" s="9" t="s">
        <v>43</v>
      </c>
      <c r="F82" s="9" t="s">
        <v>98</v>
      </c>
      <c r="G82" s="8">
        <v>321</v>
      </c>
      <c r="H82" s="69">
        <v>4883.1000000000004</v>
      </c>
      <c r="I82" s="32">
        <v>5127.2</v>
      </c>
      <c r="J82" s="32">
        <v>5127.2</v>
      </c>
      <c r="K82" s="36">
        <f t="shared" si="1"/>
        <v>15137.5</v>
      </c>
      <c r="M82" s="27">
        <f>H83+H82+H80+H76+H75+H72+H71+H70+H63+H62+H61+H60+H59+H57+H52+H51+H50+H48+H46+H45+H44+H42+H35+H30+H25+H22</f>
        <v>233746.96299999999</v>
      </c>
    </row>
    <row r="83" spans="1:14" ht="15" hidden="1" customHeight="1" outlineLevel="1">
      <c r="A83" s="90"/>
      <c r="B83" s="93"/>
      <c r="C83" s="5"/>
      <c r="D83" s="9" t="s">
        <v>31</v>
      </c>
      <c r="E83" s="9"/>
      <c r="F83" s="9"/>
      <c r="G83" s="8"/>
      <c r="H83" s="30"/>
      <c r="I83" s="30"/>
      <c r="J83" s="30"/>
      <c r="K83" s="36">
        <f t="shared" si="1"/>
        <v>0</v>
      </c>
      <c r="M83" s="27">
        <f>H21+H23+H24+H27+H29+H31+H33+H36+H40+H41+H43+H47+H49+H54+H55+H58+H64+H65+H66+H68+H69+H77+H78+H79+H81+H84</f>
        <v>196983.09969000003</v>
      </c>
    </row>
    <row r="84" spans="1:14" ht="15" hidden="1" customHeight="1" outlineLevel="1">
      <c r="A84" s="90"/>
      <c r="B84" s="93"/>
      <c r="C84" s="5"/>
      <c r="D84" s="9" t="s">
        <v>31</v>
      </c>
      <c r="E84" s="9"/>
      <c r="F84" s="8"/>
      <c r="G84" s="8"/>
      <c r="H84" s="30"/>
      <c r="I84" s="30"/>
      <c r="J84" s="30"/>
      <c r="K84" s="36">
        <f t="shared" si="1"/>
        <v>0</v>
      </c>
      <c r="M84" s="27">
        <f>M83+M82</f>
        <v>430730.06269000005</v>
      </c>
    </row>
    <row r="85" spans="1:14" ht="15" hidden="1" customHeight="1" outlineLevel="1">
      <c r="A85" s="90"/>
      <c r="B85" s="93"/>
      <c r="C85" s="5"/>
      <c r="D85" s="9" t="s">
        <v>31</v>
      </c>
      <c r="E85" s="9"/>
      <c r="F85" s="8"/>
      <c r="G85" s="8"/>
      <c r="H85" s="30"/>
      <c r="I85" s="30"/>
      <c r="J85" s="30"/>
      <c r="K85" s="36">
        <f t="shared" si="1"/>
        <v>0</v>
      </c>
    </row>
    <row r="86" spans="1:14" ht="26.25" collapsed="1">
      <c r="A86" s="90"/>
      <c r="B86" s="93"/>
      <c r="C86" s="29" t="s">
        <v>69</v>
      </c>
      <c r="D86" s="28" t="s">
        <v>31</v>
      </c>
      <c r="E86" s="39" t="s">
        <v>32</v>
      </c>
      <c r="F86" s="39" t="s">
        <v>32</v>
      </c>
      <c r="G86" s="39" t="s">
        <v>32</v>
      </c>
      <c r="H86" s="63">
        <f>H20-H87</f>
        <v>523723.37635999988</v>
      </c>
      <c r="I86" s="63">
        <f>I20-I87</f>
        <v>463738.70000000007</v>
      </c>
      <c r="J86" s="63">
        <f>J20-J87</f>
        <v>463736.20000000007</v>
      </c>
      <c r="K86" s="64">
        <f>SUM(H86:J86)</f>
        <v>1451198.27636</v>
      </c>
    </row>
    <row r="87" spans="1:14" ht="27" thickBot="1">
      <c r="A87" s="91"/>
      <c r="B87" s="94"/>
      <c r="C87" s="44" t="s">
        <v>70</v>
      </c>
      <c r="D87" s="47" t="s">
        <v>89</v>
      </c>
      <c r="E87" s="46" t="s">
        <v>32</v>
      </c>
      <c r="F87" s="46" t="s">
        <v>32</v>
      </c>
      <c r="G87" s="46" t="s">
        <v>32</v>
      </c>
      <c r="H87" s="65">
        <f>H60+H61</f>
        <v>0</v>
      </c>
      <c r="I87" s="65">
        <f t="shared" ref="I87:J87" si="5">I60+I61</f>
        <v>0</v>
      </c>
      <c r="J87" s="65">
        <f t="shared" si="5"/>
        <v>0</v>
      </c>
      <c r="K87" s="66">
        <f>SUM(H87:J87)</f>
        <v>0</v>
      </c>
    </row>
    <row r="88" spans="1:14" ht="45.75" customHeight="1">
      <c r="A88" s="89" t="s">
        <v>58</v>
      </c>
      <c r="B88" s="97" t="s">
        <v>73</v>
      </c>
      <c r="C88" s="6" t="s">
        <v>38</v>
      </c>
      <c r="D88" s="41" t="s">
        <v>32</v>
      </c>
      <c r="E88" s="41" t="s">
        <v>32</v>
      </c>
      <c r="F88" s="41" t="s">
        <v>32</v>
      </c>
      <c r="G88" s="41" t="s">
        <v>32</v>
      </c>
      <c r="H88" s="74">
        <f>H101+H102</f>
        <v>29164.585330000002</v>
      </c>
      <c r="I88" s="74">
        <f t="shared" ref="I88:J88" si="6">I101+I102</f>
        <v>19749.099999999999</v>
      </c>
      <c r="J88" s="74">
        <f t="shared" si="6"/>
        <v>19749.099999999999</v>
      </c>
      <c r="K88" s="59">
        <f>SUM(H88:J88)</f>
        <v>68662.785329999999</v>
      </c>
    </row>
    <row r="89" spans="1:14" ht="15" hidden="1" customHeight="1" outlineLevel="1">
      <c r="A89" s="90"/>
      <c r="B89" s="98"/>
      <c r="C89" s="4"/>
      <c r="D89" s="9" t="s">
        <v>31</v>
      </c>
      <c r="E89" s="9" t="s">
        <v>41</v>
      </c>
      <c r="F89" s="9" t="s">
        <v>86</v>
      </c>
      <c r="G89" s="8">
        <v>611</v>
      </c>
      <c r="H89" s="71">
        <f>13804.37-311.1-87.39-80</f>
        <v>13325.880000000001</v>
      </c>
      <c r="I89" s="70">
        <v>13746.8</v>
      </c>
      <c r="J89" s="70">
        <v>13746.8</v>
      </c>
      <c r="K89" s="57">
        <f t="shared" ref="K89:K100" si="7">SUM(H89:J89)</f>
        <v>40819.479999999996</v>
      </c>
    </row>
    <row r="90" spans="1:14" ht="15" hidden="1" customHeight="1" outlineLevel="1">
      <c r="A90" s="90"/>
      <c r="B90" s="98"/>
      <c r="C90" s="5"/>
      <c r="D90" s="9" t="s">
        <v>31</v>
      </c>
      <c r="E90" s="9" t="s">
        <v>41</v>
      </c>
      <c r="F90" s="9" t="s">
        <v>109</v>
      </c>
      <c r="G90" s="8">
        <v>611</v>
      </c>
      <c r="H90" s="71">
        <v>229.55099999999999</v>
      </c>
      <c r="I90" s="63">
        <v>0</v>
      </c>
      <c r="J90" s="63">
        <v>0</v>
      </c>
      <c r="K90" s="57">
        <f t="shared" si="7"/>
        <v>229.55099999999999</v>
      </c>
    </row>
    <row r="91" spans="1:14" ht="15" hidden="1" customHeight="1" outlineLevel="1">
      <c r="A91" s="90"/>
      <c r="B91" s="98"/>
      <c r="C91" s="5"/>
      <c r="D91" s="9" t="s">
        <v>31</v>
      </c>
      <c r="E91" s="9" t="s">
        <v>41</v>
      </c>
      <c r="F91" s="9" t="s">
        <v>86</v>
      </c>
      <c r="G91" s="8">
        <v>612</v>
      </c>
      <c r="H91" s="71">
        <v>40</v>
      </c>
      <c r="I91" s="63">
        <v>0</v>
      </c>
      <c r="J91" s="63">
        <v>0</v>
      </c>
      <c r="K91" s="57">
        <f t="shared" si="7"/>
        <v>40</v>
      </c>
    </row>
    <row r="92" spans="1:14" ht="15" hidden="1" customHeight="1" outlineLevel="1">
      <c r="A92" s="90"/>
      <c r="B92" s="98"/>
      <c r="C92" s="5"/>
      <c r="D92" s="9" t="s">
        <v>31</v>
      </c>
      <c r="E92" s="9" t="s">
        <v>42</v>
      </c>
      <c r="F92" s="9" t="s">
        <v>88</v>
      </c>
      <c r="G92" s="8">
        <v>612</v>
      </c>
      <c r="H92" s="71">
        <v>208.74</v>
      </c>
      <c r="I92" s="56">
        <v>210</v>
      </c>
      <c r="J92" s="56">
        <v>210</v>
      </c>
      <c r="K92" s="57">
        <f t="shared" si="7"/>
        <v>628.74</v>
      </c>
      <c r="M92" s="15">
        <f>H92+H93+H52+H63+H76+H94</f>
        <v>1669.9700000000003</v>
      </c>
      <c r="N92" s="15">
        <f>I94+I93+I92+I76+I63+I52</f>
        <v>1643.6999999999998</v>
      </c>
    </row>
    <row r="93" spans="1:14" ht="15" hidden="1" customHeight="1" outlineLevel="1">
      <c r="A93" s="90"/>
      <c r="B93" s="98"/>
      <c r="C93" s="5"/>
      <c r="D93" s="9" t="s">
        <v>31</v>
      </c>
      <c r="E93" s="33" t="s">
        <v>42</v>
      </c>
      <c r="F93" s="33" t="s">
        <v>101</v>
      </c>
      <c r="G93" s="34" t="s">
        <v>102</v>
      </c>
      <c r="H93" s="73">
        <v>0</v>
      </c>
      <c r="I93" s="73">
        <v>0</v>
      </c>
      <c r="J93" s="73">
        <v>0</v>
      </c>
      <c r="K93" s="57">
        <f t="shared" si="7"/>
        <v>0</v>
      </c>
    </row>
    <row r="94" spans="1:14" ht="15" hidden="1" customHeight="1" outlineLevel="1">
      <c r="A94" s="90"/>
      <c r="B94" s="98"/>
      <c r="C94" s="5"/>
      <c r="D94" s="9" t="s">
        <v>31</v>
      </c>
      <c r="E94" s="33"/>
      <c r="F94" s="33"/>
      <c r="G94" s="34"/>
      <c r="H94" s="30"/>
      <c r="I94" s="30"/>
      <c r="J94" s="30"/>
      <c r="K94" s="36">
        <f t="shared" si="7"/>
        <v>0</v>
      </c>
    </row>
    <row r="95" spans="1:14" ht="15" hidden="1" customHeight="1" outlineLevel="1">
      <c r="A95" s="90"/>
      <c r="B95" s="98"/>
      <c r="C95" s="5"/>
      <c r="D95" s="9" t="s">
        <v>31</v>
      </c>
      <c r="E95" s="33"/>
      <c r="F95" s="34"/>
      <c r="G95" s="34"/>
      <c r="H95" s="30"/>
      <c r="I95" s="30"/>
      <c r="J95" s="30"/>
      <c r="K95" s="36">
        <f t="shared" si="7"/>
        <v>0</v>
      </c>
    </row>
    <row r="96" spans="1:14" ht="15" hidden="1" customHeight="1" outlineLevel="1">
      <c r="A96" s="90"/>
      <c r="B96" s="98"/>
      <c r="C96" s="29" t="s">
        <v>69</v>
      </c>
      <c r="D96" s="28" t="s">
        <v>31</v>
      </c>
      <c r="E96" s="35"/>
      <c r="F96" s="35"/>
      <c r="G96" s="35"/>
      <c r="H96" s="30"/>
      <c r="I96" s="30"/>
      <c r="J96" s="30"/>
      <c r="K96" s="36">
        <f t="shared" si="7"/>
        <v>0</v>
      </c>
    </row>
    <row r="97" spans="1:11" ht="15" hidden="1" customHeight="1" outlineLevel="1">
      <c r="A97" s="90"/>
      <c r="B97" s="98"/>
      <c r="C97" s="5"/>
      <c r="D97" s="9" t="s">
        <v>31</v>
      </c>
      <c r="E97" s="33"/>
      <c r="F97" s="34"/>
      <c r="G97" s="34"/>
      <c r="H97" s="30"/>
      <c r="I97" s="30"/>
      <c r="J97" s="30"/>
      <c r="K97" s="36">
        <f t="shared" si="7"/>
        <v>0</v>
      </c>
    </row>
    <row r="98" spans="1:11" ht="15" hidden="1" customHeight="1" outlineLevel="1">
      <c r="A98" s="90"/>
      <c r="B98" s="98"/>
      <c r="C98" s="5"/>
      <c r="D98" s="9" t="s">
        <v>31</v>
      </c>
      <c r="E98" s="33"/>
      <c r="F98" s="34"/>
      <c r="G98" s="34"/>
      <c r="H98" s="30"/>
      <c r="I98" s="30"/>
      <c r="J98" s="30"/>
      <c r="K98" s="36">
        <f t="shared" si="7"/>
        <v>0</v>
      </c>
    </row>
    <row r="99" spans="1:11" ht="15" hidden="1" customHeight="1" outlineLevel="1">
      <c r="A99" s="90"/>
      <c r="B99" s="98"/>
      <c r="C99" s="5"/>
      <c r="D99" s="9" t="s">
        <v>31</v>
      </c>
      <c r="E99" s="33"/>
      <c r="F99" s="34"/>
      <c r="G99" s="34"/>
      <c r="H99" s="30"/>
      <c r="I99" s="30"/>
      <c r="J99" s="30"/>
      <c r="K99" s="36">
        <f t="shared" si="7"/>
        <v>0</v>
      </c>
    </row>
    <row r="100" spans="1:11" ht="15" hidden="1" customHeight="1" outlineLevel="1">
      <c r="A100" s="90"/>
      <c r="B100" s="98"/>
      <c r="C100" s="5"/>
      <c r="D100" s="9" t="s">
        <v>31</v>
      </c>
      <c r="E100" s="33"/>
      <c r="F100" s="34"/>
      <c r="G100" s="34"/>
      <c r="H100" s="30"/>
      <c r="I100" s="30"/>
      <c r="J100" s="30"/>
      <c r="K100" s="36">
        <f t="shared" si="7"/>
        <v>0</v>
      </c>
    </row>
    <row r="101" spans="1:11" ht="26.25" collapsed="1">
      <c r="A101" s="90"/>
      <c r="B101" s="98"/>
      <c r="C101" s="29" t="s">
        <v>69</v>
      </c>
      <c r="D101" s="28" t="s">
        <v>31</v>
      </c>
      <c r="E101" s="39" t="s">
        <v>32</v>
      </c>
      <c r="F101" s="39" t="s">
        <v>32</v>
      </c>
      <c r="G101" s="39" t="s">
        <v>32</v>
      </c>
      <c r="H101" s="60">
        <f>SUM(H89:H100)</f>
        <v>13804.171</v>
      </c>
      <c r="I101" s="60">
        <f t="shared" ref="I101:J101" si="8">SUM(I89:I100)</f>
        <v>13956.8</v>
      </c>
      <c r="J101" s="60">
        <f t="shared" si="8"/>
        <v>13956.8</v>
      </c>
      <c r="K101" s="57">
        <f t="shared" si="1"/>
        <v>41717.770999999993</v>
      </c>
    </row>
    <row r="102" spans="1:11" ht="27" thickBot="1">
      <c r="A102" s="90"/>
      <c r="B102" s="98"/>
      <c r="C102" s="29" t="s">
        <v>70</v>
      </c>
      <c r="D102" s="28" t="s">
        <v>89</v>
      </c>
      <c r="E102" s="39" t="s">
        <v>32</v>
      </c>
      <c r="F102" s="39" t="s">
        <v>32</v>
      </c>
      <c r="G102" s="39" t="s">
        <v>32</v>
      </c>
      <c r="H102" s="63">
        <f>H103+H117+H116+H93+H104+H112+H113+H114+H115+H108+H109+H110+H111+H105+H106+H107</f>
        <v>15360.414330000003</v>
      </c>
      <c r="I102" s="63">
        <f t="shared" ref="I102:J102" si="9">I103+I117+I116+I93+I104+I112+I113+I114+I115+I108+I109+I110+I111</f>
        <v>5792.2999999999993</v>
      </c>
      <c r="J102" s="63">
        <f t="shared" si="9"/>
        <v>5792.2999999999993</v>
      </c>
      <c r="K102" s="57">
        <f>SUM(H102:J102)</f>
        <v>26945.014330000002</v>
      </c>
    </row>
    <row r="103" spans="1:11" hidden="1" outlineLevel="1">
      <c r="A103" s="90"/>
      <c r="B103" s="98"/>
      <c r="C103" s="29"/>
      <c r="D103" s="28" t="s">
        <v>89</v>
      </c>
      <c r="E103" s="9" t="s">
        <v>42</v>
      </c>
      <c r="F103" s="9" t="s">
        <v>88</v>
      </c>
      <c r="G103" s="8">
        <v>622</v>
      </c>
      <c r="H103" s="71">
        <v>939.33</v>
      </c>
      <c r="I103" s="56">
        <v>1096</v>
      </c>
      <c r="J103" s="56">
        <v>1096</v>
      </c>
      <c r="K103" s="57">
        <f t="shared" ref="K103:K117" si="10">SUM(H103:J103)</f>
        <v>3131.33</v>
      </c>
    </row>
    <row r="104" spans="1:11" hidden="1" outlineLevel="1">
      <c r="A104" s="90"/>
      <c r="B104" s="98"/>
      <c r="C104" s="29"/>
      <c r="D104" s="28" t="s">
        <v>89</v>
      </c>
      <c r="E104" s="9" t="s">
        <v>42</v>
      </c>
      <c r="F104" s="9" t="s">
        <v>111</v>
      </c>
      <c r="G104" s="8">
        <v>622</v>
      </c>
      <c r="H104" s="71">
        <v>0.93933</v>
      </c>
      <c r="I104" s="56">
        <v>0</v>
      </c>
      <c r="J104" s="56">
        <v>0</v>
      </c>
      <c r="K104" s="57">
        <f t="shared" si="10"/>
        <v>0.93933</v>
      </c>
    </row>
    <row r="105" spans="1:11" hidden="1" outlineLevel="1">
      <c r="A105" s="90"/>
      <c r="B105" s="98"/>
      <c r="C105" s="29" t="s">
        <v>113</v>
      </c>
      <c r="D105" s="28" t="s">
        <v>89</v>
      </c>
      <c r="E105" s="9" t="s">
        <v>42</v>
      </c>
      <c r="F105" s="9" t="s">
        <v>121</v>
      </c>
      <c r="G105" s="8">
        <v>810</v>
      </c>
      <c r="H105" s="71">
        <v>254.57300000000001</v>
      </c>
      <c r="I105" s="56">
        <v>0</v>
      </c>
      <c r="J105" s="56">
        <v>0</v>
      </c>
      <c r="K105" s="57">
        <f t="shared" si="10"/>
        <v>254.57300000000001</v>
      </c>
    </row>
    <row r="106" spans="1:11" hidden="1" outlineLevel="1">
      <c r="A106" s="90"/>
      <c r="B106" s="98"/>
      <c r="C106" s="29" t="s">
        <v>113</v>
      </c>
      <c r="D106" s="28" t="s">
        <v>89</v>
      </c>
      <c r="E106" s="9" t="s">
        <v>42</v>
      </c>
      <c r="F106" s="9" t="s">
        <v>122</v>
      </c>
      <c r="G106" s="8">
        <v>622</v>
      </c>
      <c r="H106" s="71">
        <v>5274.5</v>
      </c>
      <c r="I106" s="56">
        <v>0</v>
      </c>
      <c r="J106" s="56">
        <v>0</v>
      </c>
      <c r="K106" s="57">
        <f t="shared" si="10"/>
        <v>5274.5</v>
      </c>
    </row>
    <row r="107" spans="1:11" hidden="1" outlineLevel="1">
      <c r="A107" s="90"/>
      <c r="B107" s="98"/>
      <c r="C107" s="29" t="s">
        <v>113</v>
      </c>
      <c r="D107" s="28" t="s">
        <v>89</v>
      </c>
      <c r="E107" s="9" t="s">
        <v>42</v>
      </c>
      <c r="F107" s="9" t="s">
        <v>123</v>
      </c>
      <c r="G107" s="8">
        <v>810</v>
      </c>
      <c r="H107" s="71">
        <v>1896.09</v>
      </c>
      <c r="I107" s="56">
        <v>0</v>
      </c>
      <c r="J107" s="56">
        <v>0</v>
      </c>
      <c r="K107" s="57">
        <f t="shared" si="10"/>
        <v>1896.09</v>
      </c>
    </row>
    <row r="108" spans="1:11" hidden="1" outlineLevel="1">
      <c r="A108" s="90"/>
      <c r="B108" s="98"/>
      <c r="C108" s="29" t="s">
        <v>117</v>
      </c>
      <c r="D108" s="28" t="s">
        <v>89</v>
      </c>
      <c r="E108" s="9" t="s">
        <v>42</v>
      </c>
      <c r="F108" s="9" t="s">
        <v>116</v>
      </c>
      <c r="G108" s="8">
        <v>622</v>
      </c>
      <c r="H108" s="71">
        <v>0.29199999999999998</v>
      </c>
      <c r="I108" s="56">
        <v>0</v>
      </c>
      <c r="J108" s="56">
        <v>0</v>
      </c>
      <c r="K108" s="57">
        <f t="shared" si="10"/>
        <v>0.29199999999999998</v>
      </c>
    </row>
    <row r="109" spans="1:11" hidden="1" outlineLevel="1">
      <c r="A109" s="90"/>
      <c r="B109" s="98"/>
      <c r="C109" s="29" t="s">
        <v>117</v>
      </c>
      <c r="D109" s="28" t="s">
        <v>89</v>
      </c>
      <c r="E109" s="9" t="s">
        <v>42</v>
      </c>
      <c r="F109" s="9" t="s">
        <v>116</v>
      </c>
      <c r="G109" s="8">
        <v>810</v>
      </c>
      <c r="H109" s="71">
        <v>0.316</v>
      </c>
      <c r="I109" s="56">
        <v>0</v>
      </c>
      <c r="J109" s="56">
        <v>0</v>
      </c>
      <c r="K109" s="57">
        <f t="shared" si="10"/>
        <v>0.316</v>
      </c>
    </row>
    <row r="110" spans="1:11" hidden="1" outlineLevel="1">
      <c r="A110" s="90"/>
      <c r="B110" s="98"/>
      <c r="C110" s="29" t="s">
        <v>117</v>
      </c>
      <c r="D110" s="28" t="s">
        <v>89</v>
      </c>
      <c r="E110" s="9" t="s">
        <v>42</v>
      </c>
      <c r="F110" s="9" t="s">
        <v>120</v>
      </c>
      <c r="G110" s="8">
        <v>622</v>
      </c>
      <c r="H110" s="71">
        <v>291.3</v>
      </c>
      <c r="I110" s="56">
        <v>0</v>
      </c>
      <c r="J110" s="56">
        <v>0</v>
      </c>
      <c r="K110" s="57">
        <f t="shared" si="10"/>
        <v>291.3</v>
      </c>
    </row>
    <row r="111" spans="1:11" hidden="1" outlineLevel="1">
      <c r="A111" s="90"/>
      <c r="B111" s="98"/>
      <c r="C111" s="29" t="s">
        <v>117</v>
      </c>
      <c r="D111" s="28" t="s">
        <v>89</v>
      </c>
      <c r="E111" s="9" t="s">
        <v>42</v>
      </c>
      <c r="F111" s="9" t="s">
        <v>120</v>
      </c>
      <c r="G111" s="8">
        <v>810</v>
      </c>
      <c r="H111" s="71">
        <v>315.60000000000002</v>
      </c>
      <c r="I111" s="56">
        <v>0</v>
      </c>
      <c r="J111" s="56">
        <v>0</v>
      </c>
      <c r="K111" s="57">
        <f t="shared" si="10"/>
        <v>315.60000000000002</v>
      </c>
    </row>
    <row r="112" spans="1:11" hidden="1" outlineLevel="1">
      <c r="A112" s="90"/>
      <c r="B112" s="98"/>
      <c r="C112" s="29" t="s">
        <v>119</v>
      </c>
      <c r="D112" s="28" t="s">
        <v>89</v>
      </c>
      <c r="E112" s="9" t="s">
        <v>42</v>
      </c>
      <c r="F112" s="9" t="s">
        <v>114</v>
      </c>
      <c r="G112" s="8">
        <v>622</v>
      </c>
      <c r="H112" s="71">
        <v>789.57479999999998</v>
      </c>
      <c r="I112" s="73">
        <v>0</v>
      </c>
      <c r="J112" s="73">
        <v>0</v>
      </c>
      <c r="K112" s="57">
        <f t="shared" si="10"/>
        <v>789.57479999999998</v>
      </c>
    </row>
    <row r="113" spans="1:11" hidden="1" outlineLevel="1">
      <c r="A113" s="90"/>
      <c r="B113" s="98"/>
      <c r="C113" s="29" t="s">
        <v>118</v>
      </c>
      <c r="D113" s="28" t="s">
        <v>89</v>
      </c>
      <c r="E113" s="9" t="s">
        <v>42</v>
      </c>
      <c r="F113" s="9" t="s">
        <v>114</v>
      </c>
      <c r="G113" s="8">
        <v>810</v>
      </c>
      <c r="H113" s="71">
        <v>629.50049999999999</v>
      </c>
      <c r="I113" s="73">
        <v>0</v>
      </c>
      <c r="J113" s="73">
        <v>0</v>
      </c>
      <c r="K113" s="57">
        <f t="shared" si="10"/>
        <v>629.50049999999999</v>
      </c>
    </row>
    <row r="114" spans="1:11" hidden="1" outlineLevel="1">
      <c r="A114" s="90"/>
      <c r="B114" s="98"/>
      <c r="C114" s="29" t="s">
        <v>115</v>
      </c>
      <c r="D114" s="28" t="s">
        <v>89</v>
      </c>
      <c r="E114" s="9" t="s">
        <v>42</v>
      </c>
      <c r="F114" s="9" t="s">
        <v>114</v>
      </c>
      <c r="G114" s="8">
        <v>622</v>
      </c>
      <c r="H114" s="71">
        <v>273.13920000000002</v>
      </c>
      <c r="I114" s="56">
        <v>0</v>
      </c>
      <c r="J114" s="56">
        <v>0</v>
      </c>
      <c r="K114" s="57">
        <f t="shared" si="10"/>
        <v>273.13920000000002</v>
      </c>
    </row>
    <row r="115" spans="1:11" hidden="1" outlineLevel="1">
      <c r="A115" s="90"/>
      <c r="B115" s="98"/>
      <c r="C115" s="29" t="s">
        <v>115</v>
      </c>
      <c r="D115" s="28" t="s">
        <v>89</v>
      </c>
      <c r="E115" s="9" t="s">
        <v>42</v>
      </c>
      <c r="F115" s="9" t="s">
        <v>114</v>
      </c>
      <c r="G115" s="8">
        <v>810</v>
      </c>
      <c r="H115" s="71">
        <v>224.05950000000001</v>
      </c>
      <c r="I115" s="56">
        <v>0</v>
      </c>
      <c r="J115" s="56">
        <v>0</v>
      </c>
      <c r="K115" s="57">
        <f t="shared" si="10"/>
        <v>224.05950000000001</v>
      </c>
    </row>
    <row r="116" spans="1:11" hidden="1" outlineLevel="1">
      <c r="A116" s="90"/>
      <c r="B116" s="98"/>
      <c r="C116" s="29"/>
      <c r="D116" s="28" t="s">
        <v>89</v>
      </c>
      <c r="E116" s="9" t="s">
        <v>42</v>
      </c>
      <c r="F116" s="9" t="s">
        <v>99</v>
      </c>
      <c r="G116" s="8">
        <v>622</v>
      </c>
      <c r="H116" s="71">
        <v>2479.56</v>
      </c>
      <c r="I116" s="56">
        <v>2354.12</v>
      </c>
      <c r="J116" s="56">
        <v>2354.12</v>
      </c>
      <c r="K116" s="57">
        <f t="shared" si="10"/>
        <v>7187.8</v>
      </c>
    </row>
    <row r="117" spans="1:11" ht="15.75" hidden="1" outlineLevel="1" thickBot="1">
      <c r="A117" s="91"/>
      <c r="B117" s="99"/>
      <c r="C117" s="44"/>
      <c r="D117" s="47" t="s">
        <v>89</v>
      </c>
      <c r="E117" s="45" t="s">
        <v>42</v>
      </c>
      <c r="F117" s="45" t="s">
        <v>99</v>
      </c>
      <c r="G117" s="51">
        <v>810</v>
      </c>
      <c r="H117" s="75">
        <v>1991.64</v>
      </c>
      <c r="I117" s="72">
        <v>2342.1799999999998</v>
      </c>
      <c r="J117" s="72">
        <v>2342.1799999999998</v>
      </c>
      <c r="K117" s="62">
        <f t="shared" si="10"/>
        <v>6676</v>
      </c>
    </row>
    <row r="118" spans="1:11" ht="45.75" customHeight="1" collapsed="1">
      <c r="A118" s="80" t="s">
        <v>66</v>
      </c>
      <c r="B118" s="83" t="s">
        <v>33</v>
      </c>
      <c r="C118" s="6" t="s">
        <v>38</v>
      </c>
      <c r="D118" s="41" t="s">
        <v>32</v>
      </c>
      <c r="E118" s="41" t="s">
        <v>32</v>
      </c>
      <c r="F118" s="41" t="s">
        <v>32</v>
      </c>
      <c r="G118" s="41" t="s">
        <v>32</v>
      </c>
      <c r="H118" s="42">
        <f>SUM(H119:H123)</f>
        <v>1539.1000000000001</v>
      </c>
      <c r="I118" s="42">
        <f t="shared" ref="I118:J118" si="11">SUM(I119:I123)</f>
        <v>6035.2000000000007</v>
      </c>
      <c r="J118" s="42">
        <f t="shared" si="11"/>
        <v>6035.2</v>
      </c>
      <c r="K118" s="43">
        <f t="shared" si="1"/>
        <v>13609.5</v>
      </c>
    </row>
    <row r="119" spans="1:11" ht="15" hidden="1" customHeight="1" outlineLevel="1">
      <c r="A119" s="81"/>
      <c r="B119" s="84"/>
      <c r="C119" s="4"/>
      <c r="D119" s="9" t="s">
        <v>31</v>
      </c>
      <c r="E119" s="9" t="s">
        <v>37</v>
      </c>
      <c r="F119" s="9" t="s">
        <v>92</v>
      </c>
      <c r="G119" s="8">
        <v>121</v>
      </c>
      <c r="H119" s="71">
        <v>1241.606</v>
      </c>
      <c r="I119" s="56">
        <v>1288</v>
      </c>
      <c r="J119" s="56">
        <v>1288</v>
      </c>
      <c r="K119" s="57">
        <f t="shared" si="1"/>
        <v>3817.6059999999998</v>
      </c>
    </row>
    <row r="120" spans="1:11" ht="15" hidden="1" customHeight="1" outlineLevel="1">
      <c r="A120" s="81"/>
      <c r="B120" s="84"/>
      <c r="C120" s="5"/>
      <c r="D120" s="9" t="s">
        <v>31</v>
      </c>
      <c r="E120" s="9" t="s">
        <v>37</v>
      </c>
      <c r="F120" s="9" t="s">
        <v>92</v>
      </c>
      <c r="G120" s="8">
        <v>122</v>
      </c>
      <c r="H120" s="71">
        <v>32.4</v>
      </c>
      <c r="I120" s="56">
        <v>34.4</v>
      </c>
      <c r="J120" s="56">
        <v>34.4</v>
      </c>
      <c r="K120" s="57">
        <f t="shared" si="1"/>
        <v>101.19999999999999</v>
      </c>
    </row>
    <row r="121" spans="1:11" ht="15" hidden="1" customHeight="1" outlineLevel="1">
      <c r="A121" s="81"/>
      <c r="B121" s="84"/>
      <c r="C121" s="5"/>
      <c r="D121" s="9" t="s">
        <v>31</v>
      </c>
      <c r="E121" s="9" t="s">
        <v>37</v>
      </c>
      <c r="F121" s="9" t="s">
        <v>92</v>
      </c>
      <c r="G121" s="8">
        <v>244</v>
      </c>
      <c r="H121" s="71">
        <v>265.09399999999999</v>
      </c>
      <c r="I121" s="56">
        <v>277.60000000000002</v>
      </c>
      <c r="J121" s="56">
        <v>277.60000000000002</v>
      </c>
      <c r="K121" s="57">
        <f t="shared" si="1"/>
        <v>820.29399999999998</v>
      </c>
    </row>
    <row r="122" spans="1:11" ht="15" hidden="1" customHeight="1" outlineLevel="1">
      <c r="A122" s="81"/>
      <c r="B122" s="84"/>
      <c r="C122" s="5"/>
      <c r="D122" s="9" t="s">
        <v>89</v>
      </c>
      <c r="E122" s="9" t="s">
        <v>37</v>
      </c>
      <c r="F122" s="9" t="s">
        <v>100</v>
      </c>
      <c r="G122" s="8">
        <v>412</v>
      </c>
      <c r="H122" s="71">
        <v>0</v>
      </c>
      <c r="I122" s="56">
        <v>1965.9</v>
      </c>
      <c r="J122" s="56">
        <v>2020.1</v>
      </c>
      <c r="K122" s="57">
        <f t="shared" si="1"/>
        <v>3986</v>
      </c>
    </row>
    <row r="123" spans="1:11" ht="15" hidden="1" customHeight="1" outlineLevel="1">
      <c r="A123" s="81"/>
      <c r="B123" s="84"/>
      <c r="C123" s="5"/>
      <c r="D123" s="9" t="s">
        <v>89</v>
      </c>
      <c r="E123" s="9" t="s">
        <v>37</v>
      </c>
      <c r="F123" s="9" t="s">
        <v>93</v>
      </c>
      <c r="G123" s="8">
        <v>412</v>
      </c>
      <c r="H123" s="71">
        <v>0</v>
      </c>
      <c r="I123" s="56">
        <v>2469.3000000000002</v>
      </c>
      <c r="J123" s="56">
        <v>2415.1</v>
      </c>
      <c r="K123" s="57">
        <f t="shared" si="1"/>
        <v>4884.3999999999996</v>
      </c>
    </row>
    <row r="124" spans="1:11" ht="26.25" collapsed="1">
      <c r="A124" s="81"/>
      <c r="B124" s="84"/>
      <c r="C124" s="29" t="s">
        <v>69</v>
      </c>
      <c r="D124" s="28" t="s">
        <v>31</v>
      </c>
      <c r="E124" s="39" t="s">
        <v>32</v>
      </c>
      <c r="F124" s="39" t="s">
        <v>32</v>
      </c>
      <c r="G124" s="39" t="s">
        <v>32</v>
      </c>
      <c r="H124" s="30">
        <f>H118-H125</f>
        <v>1539.1000000000001</v>
      </c>
      <c r="I124" s="30">
        <f t="shared" ref="I124:J124" si="12">I118-I125</f>
        <v>1600</v>
      </c>
      <c r="J124" s="30">
        <f t="shared" si="12"/>
        <v>1600</v>
      </c>
      <c r="K124" s="52">
        <f t="shared" ref="K124" si="13">K118-K125</f>
        <v>4739.0999999999985</v>
      </c>
    </row>
    <row r="125" spans="1:11" ht="27" thickBot="1">
      <c r="A125" s="82"/>
      <c r="B125" s="85"/>
      <c r="C125" s="44" t="s">
        <v>70</v>
      </c>
      <c r="D125" s="47" t="s">
        <v>89</v>
      </c>
      <c r="E125" s="46" t="s">
        <v>32</v>
      </c>
      <c r="F125" s="46" t="s">
        <v>32</v>
      </c>
      <c r="G125" s="46" t="s">
        <v>32</v>
      </c>
      <c r="H125" s="48">
        <f>H123+H122</f>
        <v>0</v>
      </c>
      <c r="I125" s="48">
        <f t="shared" ref="I125:J125" si="14">I123+I122</f>
        <v>4435.2000000000007</v>
      </c>
      <c r="J125" s="48">
        <f t="shared" si="14"/>
        <v>4435.2</v>
      </c>
      <c r="K125" s="37">
        <f t="shared" si="1"/>
        <v>8870.4000000000015</v>
      </c>
    </row>
    <row r="126" spans="1:11" ht="46.5" customHeight="1">
      <c r="A126" s="80" t="s">
        <v>72</v>
      </c>
      <c r="B126" s="83" t="s">
        <v>34</v>
      </c>
      <c r="C126" s="6" t="s">
        <v>38</v>
      </c>
      <c r="D126" s="41" t="s">
        <v>32</v>
      </c>
      <c r="E126" s="41" t="s">
        <v>32</v>
      </c>
      <c r="F126" s="41" t="s">
        <v>32</v>
      </c>
      <c r="G126" s="41" t="s">
        <v>32</v>
      </c>
      <c r="H126" s="50">
        <f>SUM(H127:H139)</f>
        <v>21737.492999999999</v>
      </c>
      <c r="I126" s="50">
        <f t="shared" ref="I126:J126" si="15">SUM(I127:I139)</f>
        <v>22174.799999999996</v>
      </c>
      <c r="J126" s="50">
        <f t="shared" si="15"/>
        <v>22177.299999999996</v>
      </c>
      <c r="K126" s="43">
        <f>SUM(H126:J126)</f>
        <v>66089.592999999993</v>
      </c>
    </row>
    <row r="127" spans="1:11" ht="15" hidden="1" customHeight="1" outlineLevel="1">
      <c r="A127" s="81"/>
      <c r="B127" s="84"/>
      <c r="C127" s="4"/>
      <c r="D127" s="9"/>
      <c r="E127" s="9"/>
      <c r="F127" s="9"/>
      <c r="G127" s="39"/>
      <c r="H127" s="30"/>
      <c r="I127" s="30"/>
      <c r="J127" s="30"/>
      <c r="K127" s="36">
        <f t="shared" ref="K127:K138" si="16">SUM(H127:J127)</f>
        <v>0</v>
      </c>
    </row>
    <row r="128" spans="1:11" ht="15" hidden="1" customHeight="1" outlineLevel="1">
      <c r="A128" s="81"/>
      <c r="B128" s="84"/>
      <c r="C128" s="5"/>
      <c r="D128" s="9" t="s">
        <v>31</v>
      </c>
      <c r="E128" s="9" t="s">
        <v>37</v>
      </c>
      <c r="F128" s="9" t="s">
        <v>94</v>
      </c>
      <c r="G128" s="8">
        <v>121</v>
      </c>
      <c r="H128" s="71">
        <v>2998.491</v>
      </c>
      <c r="I128" s="70">
        <v>2929.1149999999998</v>
      </c>
      <c r="J128" s="70">
        <v>2929.1149999999998</v>
      </c>
      <c r="K128" s="57">
        <f t="shared" si="16"/>
        <v>8856.7209999999995</v>
      </c>
    </row>
    <row r="129" spans="1:11" ht="15" hidden="1" customHeight="1" outlineLevel="1">
      <c r="A129" s="81"/>
      <c r="B129" s="84"/>
      <c r="C129" s="5"/>
      <c r="D129" s="9" t="s">
        <v>31</v>
      </c>
      <c r="E129" s="9" t="s">
        <v>37</v>
      </c>
      <c r="F129" s="9" t="s">
        <v>94</v>
      </c>
      <c r="G129" s="8">
        <v>122</v>
      </c>
      <c r="H129" s="71">
        <v>36.590800000000002</v>
      </c>
      <c r="I129" s="70">
        <v>15.7</v>
      </c>
      <c r="J129" s="70">
        <v>15.7</v>
      </c>
      <c r="K129" s="57">
        <f t="shared" si="16"/>
        <v>67.990800000000007</v>
      </c>
    </row>
    <row r="130" spans="1:11" ht="15" hidden="1" customHeight="1" outlineLevel="1">
      <c r="A130" s="81"/>
      <c r="B130" s="84"/>
      <c r="C130" s="5"/>
      <c r="D130" s="9" t="s">
        <v>31</v>
      </c>
      <c r="E130" s="9" t="s">
        <v>37</v>
      </c>
      <c r="F130" s="9" t="s">
        <v>94</v>
      </c>
      <c r="G130" s="8">
        <v>244</v>
      </c>
      <c r="H130" s="71">
        <f>1352.1242-141.1</f>
        <v>1211.0242000000001</v>
      </c>
      <c r="I130" s="70">
        <v>1377.461</v>
      </c>
      <c r="J130" s="70">
        <v>1377.461</v>
      </c>
      <c r="K130" s="57">
        <f t="shared" si="16"/>
        <v>3965.9462000000003</v>
      </c>
    </row>
    <row r="131" spans="1:11" ht="15" hidden="1" customHeight="1" outlineLevel="1">
      <c r="A131" s="81"/>
      <c r="B131" s="84"/>
      <c r="C131" s="5" t="s">
        <v>125</v>
      </c>
      <c r="D131" s="9" t="s">
        <v>31</v>
      </c>
      <c r="E131" s="9" t="s">
        <v>42</v>
      </c>
      <c r="F131" s="9" t="s">
        <v>124</v>
      </c>
      <c r="G131" s="8">
        <v>244</v>
      </c>
      <c r="H131" s="71">
        <v>19.96</v>
      </c>
      <c r="I131" s="70">
        <v>0</v>
      </c>
      <c r="J131" s="70">
        <v>0</v>
      </c>
      <c r="K131" s="57">
        <f t="shared" si="16"/>
        <v>19.96</v>
      </c>
    </row>
    <row r="132" spans="1:11" ht="15" hidden="1" customHeight="1" outlineLevel="1">
      <c r="A132" s="81"/>
      <c r="B132" s="84"/>
      <c r="C132" s="5" t="s">
        <v>125</v>
      </c>
      <c r="D132" s="9" t="s">
        <v>31</v>
      </c>
      <c r="E132" s="9" t="s">
        <v>42</v>
      </c>
      <c r="F132" s="9" t="s">
        <v>124</v>
      </c>
      <c r="G132" s="8">
        <v>350</v>
      </c>
      <c r="H132" s="71">
        <v>38.799999999999997</v>
      </c>
      <c r="I132" s="70">
        <v>0</v>
      </c>
      <c r="J132" s="70">
        <v>0</v>
      </c>
      <c r="K132" s="57">
        <f t="shared" si="16"/>
        <v>38.799999999999997</v>
      </c>
    </row>
    <row r="133" spans="1:11" ht="15" hidden="1" customHeight="1" outlineLevel="1">
      <c r="A133" s="81"/>
      <c r="B133" s="84"/>
      <c r="C133" s="5"/>
      <c r="D133" s="9" t="s">
        <v>31</v>
      </c>
      <c r="E133" s="9" t="s">
        <v>37</v>
      </c>
      <c r="F133" s="9" t="s">
        <v>91</v>
      </c>
      <c r="G133" s="8">
        <v>111</v>
      </c>
      <c r="H133" s="71">
        <v>13594.582</v>
      </c>
      <c r="I133" s="70">
        <v>14098.084999999999</v>
      </c>
      <c r="J133" s="70">
        <v>14098.084999999999</v>
      </c>
      <c r="K133" s="57">
        <f t="shared" si="16"/>
        <v>41790.752</v>
      </c>
    </row>
    <row r="134" spans="1:11" ht="15" hidden="1" customHeight="1" outlineLevel="1">
      <c r="A134" s="81"/>
      <c r="B134" s="84"/>
      <c r="C134" s="5"/>
      <c r="D134" s="9" t="s">
        <v>31</v>
      </c>
      <c r="E134" s="9" t="s">
        <v>37</v>
      </c>
      <c r="F134" s="9" t="s">
        <v>91</v>
      </c>
      <c r="G134" s="8">
        <v>112</v>
      </c>
      <c r="H134" s="71">
        <v>17.600000000000001</v>
      </c>
      <c r="I134" s="70">
        <v>18</v>
      </c>
      <c r="J134" s="70">
        <v>18</v>
      </c>
      <c r="K134" s="57">
        <f t="shared" si="16"/>
        <v>53.6</v>
      </c>
    </row>
    <row r="135" spans="1:11" ht="15" hidden="1" customHeight="1" outlineLevel="1">
      <c r="A135" s="81"/>
      <c r="B135" s="84"/>
      <c r="C135" s="5"/>
      <c r="D135" s="9" t="s">
        <v>31</v>
      </c>
      <c r="E135" s="9" t="s">
        <v>37</v>
      </c>
      <c r="F135" s="9" t="s">
        <v>91</v>
      </c>
      <c r="G135" s="8">
        <v>244</v>
      </c>
      <c r="H135" s="71">
        <f>827.075</f>
        <v>827.07500000000005</v>
      </c>
      <c r="I135" s="70">
        <v>868.43899999999996</v>
      </c>
      <c r="J135" s="70">
        <v>870.93899999999996</v>
      </c>
      <c r="K135" s="57">
        <f t="shared" si="16"/>
        <v>2566.453</v>
      </c>
    </row>
    <row r="136" spans="1:11" ht="15" hidden="1" customHeight="1" outlineLevel="1">
      <c r="A136" s="81"/>
      <c r="B136" s="84"/>
      <c r="C136" s="5"/>
      <c r="D136" s="9" t="s">
        <v>31</v>
      </c>
      <c r="E136" s="9" t="s">
        <v>37</v>
      </c>
      <c r="F136" s="9" t="s">
        <v>91</v>
      </c>
      <c r="G136" s="8">
        <v>611</v>
      </c>
      <c r="H136" s="71">
        <v>2891.3</v>
      </c>
      <c r="I136" s="70">
        <v>2867.1</v>
      </c>
      <c r="J136" s="70">
        <v>2867.1</v>
      </c>
      <c r="K136" s="57">
        <f t="shared" si="16"/>
        <v>8625.5</v>
      </c>
    </row>
    <row r="137" spans="1:11" ht="15" hidden="1" customHeight="1" outlineLevel="1">
      <c r="A137" s="81"/>
      <c r="B137" s="84"/>
      <c r="C137" s="5"/>
      <c r="D137" s="9" t="s">
        <v>31</v>
      </c>
      <c r="E137" s="9" t="s">
        <v>37</v>
      </c>
      <c r="F137" s="9" t="s">
        <v>94</v>
      </c>
      <c r="G137" s="8">
        <v>852</v>
      </c>
      <c r="H137" s="71">
        <v>0.25</v>
      </c>
      <c r="I137" s="70">
        <v>0.25</v>
      </c>
      <c r="J137" s="70">
        <v>0.25</v>
      </c>
      <c r="K137" s="57">
        <f t="shared" si="16"/>
        <v>0.75</v>
      </c>
    </row>
    <row r="138" spans="1:11" ht="15" hidden="1" customHeight="1" outlineLevel="1">
      <c r="A138" s="81"/>
      <c r="B138" s="84"/>
      <c r="C138" s="5"/>
      <c r="D138" s="9" t="s">
        <v>31</v>
      </c>
      <c r="E138" s="9" t="s">
        <v>37</v>
      </c>
      <c r="F138" s="9" t="s">
        <v>91</v>
      </c>
      <c r="G138" s="8">
        <v>852</v>
      </c>
      <c r="H138" s="71">
        <v>0.65</v>
      </c>
      <c r="I138" s="70">
        <v>0.65</v>
      </c>
      <c r="J138" s="70">
        <v>0.65</v>
      </c>
      <c r="K138" s="57">
        <f t="shared" si="16"/>
        <v>1.9500000000000002</v>
      </c>
    </row>
    <row r="139" spans="1:11" ht="15" hidden="1" customHeight="1" outlineLevel="1">
      <c r="A139" s="81"/>
      <c r="B139" s="84"/>
      <c r="C139" s="5"/>
      <c r="D139" s="9" t="s">
        <v>31</v>
      </c>
      <c r="E139" s="9" t="s">
        <v>37</v>
      </c>
      <c r="F139" s="9" t="s">
        <v>112</v>
      </c>
      <c r="G139" s="8">
        <v>121</v>
      </c>
      <c r="H139" s="71">
        <v>101.17</v>
      </c>
      <c r="I139" s="63">
        <v>0</v>
      </c>
      <c r="J139" s="63">
        <v>0</v>
      </c>
      <c r="K139" s="57">
        <f t="shared" ref="K139" si="17">SUM(H139:J139)</f>
        <v>101.17</v>
      </c>
    </row>
    <row r="140" spans="1:11" ht="64.5" customHeight="1" collapsed="1" thickBot="1">
      <c r="A140" s="82"/>
      <c r="B140" s="85"/>
      <c r="C140" s="44" t="s">
        <v>69</v>
      </c>
      <c r="D140" s="47" t="s">
        <v>31</v>
      </c>
      <c r="E140" s="46" t="s">
        <v>32</v>
      </c>
      <c r="F140" s="46" t="s">
        <v>32</v>
      </c>
      <c r="G140" s="46" t="s">
        <v>32</v>
      </c>
      <c r="H140" s="53">
        <f>H126</f>
        <v>21737.492999999999</v>
      </c>
      <c r="I140" s="53">
        <f t="shared" ref="I140:K140" si="18">I126</f>
        <v>22174.799999999996</v>
      </c>
      <c r="J140" s="53">
        <f t="shared" si="18"/>
        <v>22177.299999999996</v>
      </c>
      <c r="K140" s="49">
        <f t="shared" si="18"/>
        <v>66089.592999999993</v>
      </c>
    </row>
  </sheetData>
  <autoFilter ref="D20:G140"/>
  <mergeCells count="21">
    <mergeCell ref="A126:A140"/>
    <mergeCell ref="B126:B140"/>
    <mergeCell ref="B118:B125"/>
    <mergeCell ref="A118:A125"/>
    <mergeCell ref="A17:A19"/>
    <mergeCell ref="A20:A87"/>
    <mergeCell ref="B20:B87"/>
    <mergeCell ref="B17:B19"/>
    <mergeCell ref="B88:B117"/>
    <mergeCell ref="A88:A117"/>
    <mergeCell ref="H7:K7"/>
    <mergeCell ref="H8:K8"/>
    <mergeCell ref="A12:K12"/>
    <mergeCell ref="D14:G14"/>
    <mergeCell ref="H14:K14"/>
    <mergeCell ref="A14:A15"/>
    <mergeCell ref="B14:B15"/>
    <mergeCell ref="C14:C15"/>
    <mergeCell ref="H9:K9"/>
    <mergeCell ref="H10:K10"/>
    <mergeCell ref="H11:K11"/>
  </mergeCells>
  <pageMargins left="0.70866141732283472" right="0" top="0" bottom="0" header="0.31496062992125984" footer="0.31496062992125984"/>
  <pageSetup paperSize="9" scale="80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00B050"/>
  </sheetPr>
  <dimension ref="A1:K44"/>
  <sheetViews>
    <sheetView view="pageBreakPreview" zoomScaleSheetLayoutView="100" workbookViewId="0">
      <pane xSplit="2" ySplit="14" topLeftCell="C15" activePane="bottomRight" state="frozen"/>
      <selection pane="topRight" activeCell="C1" sqref="C1"/>
      <selection pane="bottomLeft" activeCell="A7" sqref="A7"/>
      <selection pane="bottomRight" activeCell="C3" sqref="C3"/>
    </sheetView>
  </sheetViews>
  <sheetFormatPr defaultRowHeight="15" outlineLevelRow="1"/>
  <cols>
    <col min="1" max="1" width="26.140625" style="1" customWidth="1"/>
    <col min="2" max="2" width="29.5703125" style="1" customWidth="1"/>
    <col min="3" max="3" width="36.42578125" style="1" customWidth="1"/>
    <col min="4" max="4" width="15.28515625" style="1" customWidth="1"/>
    <col min="5" max="5" width="16.140625" style="1" customWidth="1"/>
    <col min="6" max="6" width="14.42578125" style="1" customWidth="1"/>
    <col min="7" max="7" width="16.28515625" style="1" bestFit="1" customWidth="1"/>
    <col min="8" max="8" width="11.140625" customWidth="1"/>
  </cols>
  <sheetData>
    <row r="1" spans="1:10">
      <c r="D1" s="1" t="s">
        <v>105</v>
      </c>
    </row>
    <row r="2" spans="1:10">
      <c r="D2" s="1" t="s">
        <v>104</v>
      </c>
    </row>
    <row r="3" spans="1:10">
      <c r="D3" s="1" t="s">
        <v>127</v>
      </c>
    </row>
    <row r="5" spans="1:10" hidden="1" outlineLevel="1"/>
    <row r="6" spans="1:10" ht="18.75" hidden="1" outlineLevel="1">
      <c r="A6" s="10"/>
      <c r="E6" s="24" t="s">
        <v>45</v>
      </c>
      <c r="H6" s="23"/>
      <c r="I6" s="23"/>
      <c r="J6" s="23"/>
    </row>
    <row r="7" spans="1:10" ht="18.75" hidden="1" outlineLevel="1">
      <c r="A7" s="10"/>
      <c r="E7" s="24" t="s">
        <v>36</v>
      </c>
      <c r="H7" s="23"/>
      <c r="I7" s="23"/>
      <c r="J7" s="23"/>
    </row>
    <row r="8" spans="1:10" ht="18.75" hidden="1" outlineLevel="1">
      <c r="A8" s="10"/>
      <c r="B8" s="26"/>
      <c r="C8" s="10"/>
      <c r="E8" s="24" t="s">
        <v>61</v>
      </c>
      <c r="H8" s="23"/>
      <c r="I8" s="23"/>
      <c r="J8" s="23"/>
    </row>
    <row r="9" spans="1:10" ht="18.75" hidden="1" outlineLevel="1">
      <c r="E9" s="25" t="s">
        <v>62</v>
      </c>
      <c r="G9" s="20"/>
      <c r="H9" s="20"/>
      <c r="I9" s="20"/>
      <c r="J9" s="20"/>
    </row>
    <row r="10" spans="1:10" ht="31.5" customHeight="1" collapsed="1">
      <c r="E10" s="22"/>
      <c r="G10" s="21"/>
      <c r="H10" s="21"/>
      <c r="I10" s="21"/>
      <c r="J10" s="21"/>
    </row>
    <row r="11" spans="1:10" ht="36" customHeight="1">
      <c r="A11" s="100" t="s">
        <v>12</v>
      </c>
      <c r="B11" s="100"/>
      <c r="C11" s="100"/>
      <c r="D11" s="100"/>
      <c r="E11" s="100"/>
      <c r="F11" s="100"/>
      <c r="G11" s="100"/>
    </row>
    <row r="13" spans="1:10" ht="31.5" customHeight="1">
      <c r="A13" s="78" t="s">
        <v>44</v>
      </c>
      <c r="B13" s="78" t="s">
        <v>13</v>
      </c>
      <c r="C13" s="78" t="s">
        <v>14</v>
      </c>
      <c r="D13" s="78" t="s">
        <v>15</v>
      </c>
      <c r="E13" s="78"/>
      <c r="F13" s="78"/>
      <c r="G13" s="78"/>
    </row>
    <row r="14" spans="1:10" ht="15.75" thickBot="1">
      <c r="A14" s="78"/>
      <c r="B14" s="78"/>
      <c r="C14" s="78"/>
      <c r="D14" s="2">
        <v>2014</v>
      </c>
      <c r="E14" s="2">
        <v>2015</v>
      </c>
      <c r="F14" s="2">
        <v>2016</v>
      </c>
      <c r="G14" s="3" t="s">
        <v>8</v>
      </c>
    </row>
    <row r="15" spans="1:10">
      <c r="A15" s="80" t="s">
        <v>9</v>
      </c>
      <c r="B15" s="92" t="s">
        <v>68</v>
      </c>
      <c r="C15" s="6" t="s">
        <v>16</v>
      </c>
      <c r="D15" s="67">
        <f>SUM(D16:D19)</f>
        <v>576164.5546899999</v>
      </c>
      <c r="E15" s="67">
        <f t="shared" ref="E15" si="0">SUM(E16:E19)</f>
        <v>511697.80000000005</v>
      </c>
      <c r="F15" s="67">
        <f t="shared" ref="F15" si="1">SUM(F16:F19)</f>
        <v>511697.8</v>
      </c>
      <c r="G15" s="68">
        <f>SUM(D15:F15)</f>
        <v>1599560.15469</v>
      </c>
    </row>
    <row r="16" spans="1:10">
      <c r="A16" s="81"/>
      <c r="B16" s="93"/>
      <c r="C16" s="4" t="s">
        <v>17</v>
      </c>
      <c r="D16" s="60">
        <f>D21+D31+D36</f>
        <v>0</v>
      </c>
      <c r="E16" s="60">
        <f t="shared" ref="E16:F16" si="2">E21+E31+E36</f>
        <v>1965.9</v>
      </c>
      <c r="F16" s="60">
        <f t="shared" si="2"/>
        <v>2020.1</v>
      </c>
      <c r="G16" s="57">
        <f t="shared" ref="G16:G39" si="3">SUM(D16:F16)</f>
        <v>3986</v>
      </c>
    </row>
    <row r="17" spans="1:7">
      <c r="A17" s="81"/>
      <c r="B17" s="93"/>
      <c r="C17" s="4" t="s">
        <v>18</v>
      </c>
      <c r="D17" s="60">
        <f>D22+D32+D37+D27</f>
        <v>344318.82499999995</v>
      </c>
      <c r="E17" s="60">
        <f t="shared" ref="E17:F17" si="4">E22+E32+E37+E27</f>
        <v>279890.20000000007</v>
      </c>
      <c r="F17" s="60">
        <f t="shared" si="4"/>
        <v>279836.00000000006</v>
      </c>
      <c r="G17" s="57">
        <f t="shared" si="3"/>
        <v>904045.02500000014</v>
      </c>
    </row>
    <row r="18" spans="1:7">
      <c r="A18" s="81"/>
      <c r="B18" s="93"/>
      <c r="C18" s="5" t="s">
        <v>19</v>
      </c>
      <c r="D18" s="60">
        <f>D23+D33+D38+D28</f>
        <v>20663.86</v>
      </c>
      <c r="E18" s="60">
        <f t="shared" ref="E18:F18" si="5">E23+E33+E38+E28</f>
        <v>20241.7</v>
      </c>
      <c r="F18" s="60">
        <f t="shared" si="5"/>
        <v>19241.7</v>
      </c>
      <c r="G18" s="57">
        <f t="shared" si="3"/>
        <v>60147.259999999995</v>
      </c>
    </row>
    <row r="19" spans="1:7" ht="15.75" thickBot="1">
      <c r="A19" s="82"/>
      <c r="B19" s="94"/>
      <c r="C19" s="7" t="s">
        <v>20</v>
      </c>
      <c r="D19" s="61">
        <f>D24+D34+D39+D29</f>
        <v>211181.86968999993</v>
      </c>
      <c r="E19" s="61">
        <f>E24+E34+E39+E29</f>
        <v>209599.99999999994</v>
      </c>
      <c r="F19" s="61">
        <f t="shared" ref="F19" si="6">F24+F34+F39+F29</f>
        <v>210599.99999999994</v>
      </c>
      <c r="G19" s="62">
        <f t="shared" si="3"/>
        <v>631381.86968999985</v>
      </c>
    </row>
    <row r="20" spans="1:7" ht="15" customHeight="1">
      <c r="A20" s="80" t="s">
        <v>11</v>
      </c>
      <c r="B20" s="92" t="s">
        <v>78</v>
      </c>
      <c r="C20" s="6" t="s">
        <v>16</v>
      </c>
      <c r="D20" s="67">
        <f>'ПР.4 мун.пр.'!H20</f>
        <v>523723.37635999988</v>
      </c>
      <c r="E20" s="67">
        <f>'ПР.4 мун.пр.'!I20</f>
        <v>463738.70000000007</v>
      </c>
      <c r="F20" s="67">
        <f>'ПР.4 мун.пр.'!J20</f>
        <v>463736.20000000007</v>
      </c>
      <c r="G20" s="68">
        <f t="shared" si="3"/>
        <v>1451198.27636</v>
      </c>
    </row>
    <row r="21" spans="1:7">
      <c r="A21" s="81"/>
      <c r="B21" s="93"/>
      <c r="C21" s="4" t="s">
        <v>17</v>
      </c>
      <c r="D21" s="60"/>
      <c r="E21" s="60"/>
      <c r="F21" s="60"/>
      <c r="G21" s="57">
        <f t="shared" si="3"/>
        <v>0</v>
      </c>
    </row>
    <row r="22" spans="1:7">
      <c r="A22" s="81"/>
      <c r="B22" s="93"/>
      <c r="C22" s="4" t="s">
        <v>18</v>
      </c>
      <c r="D22" s="60">
        <f>'ПР.4 мун.пр.'!H22+'ПР.4 мун.пр.'!H25+'ПР.4 мун.пр.'!H26+'ПР.4 мун.пр.'!H28+'ПР.4 мун.пр.'!H29+'ПР.4 мун.пр.'!H30+'ПР.4 мун.пр.'!H32+'ПР.4 мун.пр.'!H33+'ПР.4 мун.пр.'!H35+'ПР.4 мун.пр.'!H37+'ПР.4 мун.пр.'!H38+'ПР.4 мун.пр.'!H39+'ПР.4 мун.пр.'!H42+'ПР.4 мун.пр.'!H44+'ПР.4 мун.пр.'!H45+'ПР.4 мун.пр.'!H46+'ПР.4 мун.пр.'!H48+'ПР.4 мун.пр.'!H50+'ПР.4 мун.пр.'!H51+'ПР.4 мун.пр.'!H52+'ПР.4 мун.пр.'!H57+'ПР.4 мун.пр.'!H59+'ПР.4 мун.пр.'!H62+'ПР.4 мун.пр.'!H63+'ПР.4 мун.пр.'!H64+'ПР.4 мун.пр.'!H65+'ПР.4 мун.пр.'!H66+'ПР.4 мун.пр.'!H67+'ПР.4 мун.пр.'!H68+'ПР.4 мун.пр.'!H70+'ПР.4 мун.пр.'!H71+'ПР.4 мун.пр.'!H75+'ПР.4 мун.пр.'!H76+'ПР.4 мун.пр.'!H78+'ПР.4 мун.пр.'!H79+'ПР.4 мун.пр.'!H80+'ПР.4 мун.пр.'!H82</f>
        <v>328797.67099999997</v>
      </c>
      <c r="E22" s="60">
        <f>'ПР.4 мун.пр.'!I22+'ПР.4 мун.пр.'!I25+'ПР.4 мун.пр.'!I26+'ПР.4 мун.пр.'!I28+'ПР.4 мун.пр.'!I29+'ПР.4 мун.пр.'!I30+'ПР.4 мун.пр.'!I32+'ПР.4 мун.пр.'!I33+'ПР.4 мун.пр.'!I35+'ПР.4 мун.пр.'!I37+'ПР.4 мун.пр.'!I38+'ПР.4 мун.пр.'!I39+'ПР.4 мун.пр.'!I42+'ПР.4 мун.пр.'!I44+'ПР.4 мун.пр.'!I45+'ПР.4 мун.пр.'!I46+'ПР.4 мун.пр.'!I48+'ПР.4 мун.пр.'!I50+'ПР.4 мун.пр.'!I51+'ПР.4 мун.пр.'!I52+'ПР.4 мун.пр.'!I57+'ПР.4 мун.пр.'!I59+'ПР.4 мун.пр.'!I62+'ПР.4 мун.пр.'!I63+'ПР.4 мун.пр.'!I64+'ПР.4 мун.пр.'!I65+'ПР.4 мун.пр.'!I66+'ПР.4 мун.пр.'!I67+'ПР.4 мун.пр.'!I68+'ПР.4 мун.пр.'!I70+'ПР.4 мун.пр.'!I71+'ПР.4 мун.пр.'!I75+'ПР.4 мун.пр.'!I76+'ПР.4 мун.пр.'!I78+'ПР.4 мун.пр.'!I79+'ПР.4 мун.пр.'!I80+'ПР.4 мун.пр.'!I82</f>
        <v>269818.60000000009</v>
      </c>
      <c r="F22" s="60">
        <f>'ПР.4 мун.пр.'!J22+'ПР.4 мун.пр.'!J25+'ПР.4 мун.пр.'!J26+'ПР.4 мун.пр.'!J28+'ПР.4 мун.пр.'!J29+'ПР.4 мун.пр.'!J30+'ПР.4 мун.пр.'!J32+'ПР.4 мун.пр.'!J33+'ПР.4 мун.пр.'!J35+'ПР.4 мун.пр.'!J37+'ПР.4 мун.пр.'!J38+'ПР.4 мун.пр.'!J39+'ПР.4 мун.пр.'!J42+'ПР.4 мун.пр.'!J44+'ПР.4 мун.пр.'!J45+'ПР.4 мун.пр.'!J46+'ПР.4 мун.пр.'!J48+'ПР.4 мун.пр.'!J50+'ПР.4 мун.пр.'!J51+'ПР.4 мун.пр.'!J52+'ПР.4 мун.пр.'!J57+'ПР.4 мун.пр.'!J59+'ПР.4 мун.пр.'!J62+'ПР.4 мун.пр.'!J63+'ПР.4 мун.пр.'!J64+'ПР.4 мун.пр.'!J65+'ПР.4 мун.пр.'!J66+'ПР.4 мун.пр.'!J67+'ПР.4 мун.пр.'!J68+'ПР.4 мун.пр.'!J70+'ПР.4 мун.пр.'!J71+'ПР.4 мун.пр.'!J75+'ПР.4 мун.пр.'!J76+'ПР.4 мун.пр.'!J78+'ПР.4 мун.пр.'!J79+'ПР.4 мун.пр.'!J80+'ПР.4 мун.пр.'!J82</f>
        <v>269818.60000000009</v>
      </c>
      <c r="G22" s="57">
        <f t="shared" si="3"/>
        <v>868434.87100000016</v>
      </c>
    </row>
    <row r="23" spans="1:7">
      <c r="A23" s="81"/>
      <c r="B23" s="93"/>
      <c r="C23" s="5" t="s">
        <v>19</v>
      </c>
      <c r="D23" s="60">
        <f>'ПР.4 мун.пр.'!H41+'ПР.4 мун.пр.'!H40</f>
        <v>20663.86</v>
      </c>
      <c r="E23" s="60">
        <f>'ПР.4 мун.пр.'!I41+'ПР.4 мун.пр.'!I40</f>
        <v>20241.7</v>
      </c>
      <c r="F23" s="60">
        <f>'ПР.4 мун.пр.'!J41+'ПР.4 мун.пр.'!J40</f>
        <v>19241.7</v>
      </c>
      <c r="G23" s="57">
        <f>SUM(D23:F23)</f>
        <v>60147.259999999995</v>
      </c>
    </row>
    <row r="24" spans="1:7" ht="15.75" thickBot="1">
      <c r="A24" s="82"/>
      <c r="B24" s="94"/>
      <c r="C24" s="7" t="s">
        <v>20</v>
      </c>
      <c r="D24" s="61">
        <f>D20-D22-D23</f>
        <v>174261.84535999992</v>
      </c>
      <c r="E24" s="61">
        <f t="shared" ref="E24:F24" si="7">E20-E22-E23</f>
        <v>173678.39999999997</v>
      </c>
      <c r="F24" s="61">
        <f t="shared" si="7"/>
        <v>174675.89999999997</v>
      </c>
      <c r="G24" s="62">
        <f t="shared" si="3"/>
        <v>522616.14535999985</v>
      </c>
    </row>
    <row r="25" spans="1:7" ht="15" customHeight="1">
      <c r="A25" s="80" t="s">
        <v>58</v>
      </c>
      <c r="B25" s="92" t="s">
        <v>73</v>
      </c>
      <c r="C25" s="6" t="s">
        <v>16</v>
      </c>
      <c r="D25" s="67">
        <f>'ПР.4 мун.пр.'!H88</f>
        <v>29164.585330000002</v>
      </c>
      <c r="E25" s="67">
        <f>'ПР.4 мун.пр.'!I88</f>
        <v>19749.099999999999</v>
      </c>
      <c r="F25" s="67">
        <f>'ПР.4 мун.пр.'!J88</f>
        <v>19749.099999999999</v>
      </c>
      <c r="G25" s="68">
        <f t="shared" ref="G25:G29" si="8">SUM(D25:F25)</f>
        <v>68662.785329999999</v>
      </c>
    </row>
    <row r="26" spans="1:7">
      <c r="A26" s="81"/>
      <c r="B26" s="93"/>
      <c r="C26" s="4" t="s">
        <v>17</v>
      </c>
      <c r="D26" s="60"/>
      <c r="E26" s="60"/>
      <c r="F26" s="60"/>
      <c r="G26" s="57">
        <f t="shared" si="8"/>
        <v>0</v>
      </c>
    </row>
    <row r="27" spans="1:7">
      <c r="A27" s="81"/>
      <c r="B27" s="93"/>
      <c r="C27" s="4" t="s">
        <v>18</v>
      </c>
      <c r="D27" s="60">
        <f>'ПР.4 мун.пр.'!H90+'ПР.4 мун.пр.'!H92+'ПР.4 мун.пр.'!H103+'ПР.4 мун.пр.'!H116+'ПР.4 мун.пр.'!H117+'ПР.4 мун.пр.'!H110+'ПР.4 мун.пр.'!H111+'ПР.4 мун.пр.'!H105+'ПР.4 мун.пр.'!H106+'ПР.4 мун.пр.'!H107</f>
        <v>13880.884000000002</v>
      </c>
      <c r="E27" s="60">
        <f>'ПР.4 мун.пр.'!I90+'ПР.4 мун.пр.'!I92+'ПР.4 мун.пр.'!I103+'ПР.4 мун.пр.'!I116+'ПР.4 мун.пр.'!I117</f>
        <v>6002.2999999999993</v>
      </c>
      <c r="F27" s="60">
        <f>'ПР.4 мун.пр.'!J90+'ПР.4 мун.пр.'!J92+'ПР.4 мун.пр.'!J103+'ПР.4 мун.пр.'!J116+'ПР.4 мун.пр.'!J117</f>
        <v>6002.2999999999993</v>
      </c>
      <c r="G27" s="57">
        <f t="shared" si="8"/>
        <v>25885.484</v>
      </c>
    </row>
    <row r="28" spans="1:7">
      <c r="A28" s="81"/>
      <c r="B28" s="93"/>
      <c r="C28" s="5" t="s">
        <v>19</v>
      </c>
      <c r="D28" s="60"/>
      <c r="E28" s="60"/>
      <c r="F28" s="60"/>
      <c r="G28" s="57">
        <f t="shared" si="8"/>
        <v>0</v>
      </c>
    </row>
    <row r="29" spans="1:7" ht="15.75" thickBot="1">
      <c r="A29" s="82"/>
      <c r="B29" s="94"/>
      <c r="C29" s="7" t="s">
        <v>20</v>
      </c>
      <c r="D29" s="61">
        <f>D25-D27-D28</f>
        <v>15283.70133</v>
      </c>
      <c r="E29" s="61">
        <f>E25-E27-E28</f>
        <v>13746.8</v>
      </c>
      <c r="F29" s="61">
        <f t="shared" ref="F29" si="9">F25-F27-F28</f>
        <v>13746.8</v>
      </c>
      <c r="G29" s="62">
        <f t="shared" si="8"/>
        <v>42777.301330000002</v>
      </c>
    </row>
    <row r="30" spans="1:7" ht="15" customHeight="1">
      <c r="A30" s="80" t="s">
        <v>66</v>
      </c>
      <c r="B30" s="92" t="s">
        <v>33</v>
      </c>
      <c r="C30" s="6" t="s">
        <v>16</v>
      </c>
      <c r="D30" s="67">
        <v>1539.1</v>
      </c>
      <c r="E30" s="67">
        <v>6035.2</v>
      </c>
      <c r="F30" s="67">
        <v>6035.2</v>
      </c>
      <c r="G30" s="68">
        <f t="shared" si="3"/>
        <v>13609.5</v>
      </c>
    </row>
    <row r="31" spans="1:7">
      <c r="A31" s="81"/>
      <c r="B31" s="93"/>
      <c r="C31" s="4" t="s">
        <v>17</v>
      </c>
      <c r="D31" s="60"/>
      <c r="E31" s="60">
        <v>1965.9</v>
      </c>
      <c r="F31" s="60">
        <v>2020.1</v>
      </c>
      <c r="G31" s="57">
        <f t="shared" si="3"/>
        <v>3986</v>
      </c>
    </row>
    <row r="32" spans="1:7">
      <c r="A32" s="81"/>
      <c r="B32" s="93"/>
      <c r="C32" s="4" t="s">
        <v>18</v>
      </c>
      <c r="D32" s="60">
        <f>D30-D31</f>
        <v>1539.1</v>
      </c>
      <c r="E32" s="60">
        <f t="shared" ref="E32:F32" si="10">E30-E31</f>
        <v>4069.2999999999997</v>
      </c>
      <c r="F32" s="60">
        <f t="shared" si="10"/>
        <v>4015.1</v>
      </c>
      <c r="G32" s="57">
        <f t="shared" si="3"/>
        <v>9623.5</v>
      </c>
    </row>
    <row r="33" spans="1:11" ht="17.25" customHeight="1">
      <c r="A33" s="81"/>
      <c r="B33" s="93"/>
      <c r="C33" s="5" t="s">
        <v>19</v>
      </c>
      <c r="D33" s="60"/>
      <c r="E33" s="60"/>
      <c r="F33" s="60"/>
      <c r="G33" s="57">
        <f t="shared" si="3"/>
        <v>0</v>
      </c>
    </row>
    <row r="34" spans="1:11" ht="17.25" customHeight="1" thickBot="1">
      <c r="A34" s="82"/>
      <c r="B34" s="94"/>
      <c r="C34" s="7" t="s">
        <v>20</v>
      </c>
      <c r="D34" s="61"/>
      <c r="E34" s="61"/>
      <c r="F34" s="61"/>
      <c r="G34" s="62">
        <f t="shared" si="3"/>
        <v>0</v>
      </c>
    </row>
    <row r="35" spans="1:11" ht="15" customHeight="1">
      <c r="A35" s="80" t="s">
        <v>72</v>
      </c>
      <c r="B35" s="92" t="s">
        <v>34</v>
      </c>
      <c r="C35" s="6" t="s">
        <v>16</v>
      </c>
      <c r="D35" s="67">
        <v>21737.492999999999</v>
      </c>
      <c r="E35" s="67">
        <v>22174.799999999999</v>
      </c>
      <c r="F35" s="67">
        <v>22177.3</v>
      </c>
      <c r="G35" s="68">
        <f t="shared" si="3"/>
        <v>66089.592999999993</v>
      </c>
    </row>
    <row r="36" spans="1:11">
      <c r="A36" s="81"/>
      <c r="B36" s="93"/>
      <c r="C36" s="4" t="s">
        <v>17</v>
      </c>
      <c r="D36" s="60"/>
      <c r="E36" s="60"/>
      <c r="F36" s="60"/>
      <c r="G36" s="57">
        <f t="shared" si="3"/>
        <v>0</v>
      </c>
    </row>
    <row r="37" spans="1:11">
      <c r="A37" s="81"/>
      <c r="B37" s="93"/>
      <c r="C37" s="4" t="s">
        <v>18</v>
      </c>
      <c r="D37" s="60">
        <f>'ПР.4 мун.пр.'!H139</f>
        <v>101.17</v>
      </c>
      <c r="E37" s="60">
        <f>'ПР.4 мун.пр.'!I139</f>
        <v>0</v>
      </c>
      <c r="F37" s="60">
        <f>'ПР.4 мун.пр.'!J139</f>
        <v>0</v>
      </c>
      <c r="G37" s="57">
        <f t="shared" si="3"/>
        <v>101.17</v>
      </c>
    </row>
    <row r="38" spans="1:11">
      <c r="A38" s="81"/>
      <c r="B38" s="93"/>
      <c r="C38" s="5" t="s">
        <v>19</v>
      </c>
      <c r="D38" s="60"/>
      <c r="E38" s="60"/>
      <c r="F38" s="60"/>
      <c r="G38" s="57">
        <f t="shared" si="3"/>
        <v>0</v>
      </c>
    </row>
    <row r="39" spans="1:11" ht="16.5" customHeight="1" thickBot="1">
      <c r="A39" s="82"/>
      <c r="B39" s="94"/>
      <c r="C39" s="7" t="s">
        <v>20</v>
      </c>
      <c r="D39" s="61">
        <f>D35-D37</f>
        <v>21636.323</v>
      </c>
      <c r="E39" s="61">
        <f t="shared" ref="E39:F39" si="11">E35-E37</f>
        <v>22174.799999999999</v>
      </c>
      <c r="F39" s="61">
        <f t="shared" si="11"/>
        <v>22177.3</v>
      </c>
      <c r="G39" s="62">
        <f t="shared" si="3"/>
        <v>65988.422999999995</v>
      </c>
    </row>
    <row r="44" spans="1:11">
      <c r="H44" s="1"/>
      <c r="I44" s="1"/>
      <c r="J44" s="1"/>
      <c r="K44" s="1"/>
    </row>
  </sheetData>
  <mergeCells count="15">
    <mergeCell ref="A30:A34"/>
    <mergeCell ref="B30:B34"/>
    <mergeCell ref="A35:A39"/>
    <mergeCell ref="B35:B39"/>
    <mergeCell ref="A15:A19"/>
    <mergeCell ref="B15:B19"/>
    <mergeCell ref="A20:A24"/>
    <mergeCell ref="B20:B24"/>
    <mergeCell ref="A25:A29"/>
    <mergeCell ref="B25:B29"/>
    <mergeCell ref="A11:G11"/>
    <mergeCell ref="A13:A14"/>
    <mergeCell ref="B13:B14"/>
    <mergeCell ref="C13:C14"/>
    <mergeCell ref="D13:G13"/>
  </mergeCells>
  <pageMargins left="0.51181102362204722" right="0.11811023622047245" top="0.35433070866141736" bottom="0" header="0.31496062992125984" footer="0.31496062992125984"/>
  <pageSetup paperSize="9" scale="90" orientation="landscape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00B050"/>
  </sheetPr>
  <dimension ref="A1:M54"/>
  <sheetViews>
    <sheetView tabSelected="1" zoomScaleSheetLayoutView="100" workbookViewId="0">
      <pane xSplit="1" ySplit="13" topLeftCell="B14" activePane="bottomRight" state="frozen"/>
      <selection pane="topRight" activeCell="B1" sqref="B1"/>
      <selection pane="bottomLeft" activeCell="A6" sqref="A6"/>
      <selection pane="bottomRight" activeCell="B11" sqref="B11:F11"/>
    </sheetView>
  </sheetViews>
  <sheetFormatPr defaultRowHeight="15" outlineLevelRow="1"/>
  <cols>
    <col min="1" max="1" width="33.5703125" style="1" customWidth="1"/>
    <col min="2" max="6" width="9.140625" style="1"/>
    <col min="7" max="8" width="11.5703125" style="1" customWidth="1"/>
    <col min="9" max="9" width="11.28515625" style="1" customWidth="1"/>
    <col min="10" max="10" width="11.5703125" style="1" customWidth="1"/>
    <col min="11" max="11" width="13" style="1" customWidth="1"/>
    <col min="13" max="13" width="10" bestFit="1" customWidth="1"/>
  </cols>
  <sheetData>
    <row r="1" spans="1:11">
      <c r="H1" s="1" t="s">
        <v>106</v>
      </c>
    </row>
    <row r="2" spans="1:11">
      <c r="H2" s="1" t="s">
        <v>104</v>
      </c>
    </row>
    <row r="3" spans="1:11">
      <c r="H3" s="1" t="s">
        <v>129</v>
      </c>
    </row>
    <row r="4" spans="1:11" ht="18.75" hidden="1" outlineLevel="1">
      <c r="A4"/>
      <c r="I4" s="101" t="s">
        <v>49</v>
      </c>
      <c r="J4" s="101"/>
      <c r="K4" s="101"/>
    </row>
    <row r="5" spans="1:11" ht="18.75" hidden="1" outlineLevel="1">
      <c r="A5"/>
      <c r="I5" s="101" t="s">
        <v>36</v>
      </c>
      <c r="J5" s="101"/>
      <c r="K5" s="101"/>
    </row>
    <row r="6" spans="1:11" ht="18.75" hidden="1" outlineLevel="1">
      <c r="A6"/>
      <c r="C6" s="26"/>
      <c r="F6" s="23"/>
      <c r="G6" s="23"/>
      <c r="H6" s="23"/>
      <c r="I6" s="22" t="s">
        <v>63</v>
      </c>
      <c r="J6" s="22"/>
      <c r="K6" s="22"/>
    </row>
    <row r="7" spans="1:11" ht="18.75" hidden="1" outlineLevel="1">
      <c r="E7" s="23"/>
      <c r="F7" s="23"/>
      <c r="G7" s="23"/>
      <c r="H7" s="23"/>
      <c r="I7" s="22" t="s">
        <v>64</v>
      </c>
      <c r="J7" s="22"/>
      <c r="K7" s="22"/>
    </row>
    <row r="8" spans="1:11" ht="18.75" collapsed="1">
      <c r="I8" s="21"/>
      <c r="J8" s="21"/>
      <c r="K8" s="21"/>
    </row>
    <row r="9" spans="1:11" ht="42" customHeight="1">
      <c r="A9" s="77" t="s">
        <v>21</v>
      </c>
      <c r="B9" s="77"/>
      <c r="C9" s="77"/>
      <c r="D9" s="77"/>
      <c r="E9" s="77"/>
      <c r="F9" s="77"/>
      <c r="G9" s="77"/>
      <c r="H9" s="77"/>
      <c r="I9" s="77"/>
      <c r="J9" s="77"/>
      <c r="K9" s="77"/>
    </row>
    <row r="11" spans="1:11" ht="48" customHeight="1">
      <c r="A11" s="78" t="s">
        <v>22</v>
      </c>
      <c r="B11" s="78" t="s">
        <v>23</v>
      </c>
      <c r="C11" s="78"/>
      <c r="D11" s="78"/>
      <c r="E11" s="78"/>
      <c r="F11" s="78"/>
      <c r="G11" s="78" t="s">
        <v>24</v>
      </c>
      <c r="H11" s="78"/>
      <c r="I11" s="78"/>
      <c r="J11" s="78"/>
      <c r="K11" s="78"/>
    </row>
    <row r="12" spans="1:11">
      <c r="A12" s="78"/>
      <c r="B12" s="5">
        <v>2012</v>
      </c>
      <c r="C12" s="5">
        <v>2013</v>
      </c>
      <c r="D12" s="5">
        <v>2014</v>
      </c>
      <c r="E12" s="5">
        <v>2015</v>
      </c>
      <c r="F12" s="5">
        <v>2016</v>
      </c>
      <c r="G12" s="5">
        <v>2012</v>
      </c>
      <c r="H12" s="5">
        <v>2013</v>
      </c>
      <c r="I12" s="5">
        <v>2014</v>
      </c>
      <c r="J12" s="5">
        <v>2015</v>
      </c>
      <c r="K12" s="5">
        <v>2016</v>
      </c>
    </row>
    <row r="13" spans="1:11" ht="29.25" customHeight="1">
      <c r="A13" s="105" t="s">
        <v>25</v>
      </c>
      <c r="B13" s="105"/>
      <c r="C13" s="105"/>
      <c r="D13" s="105"/>
      <c r="E13" s="105"/>
      <c r="F13" s="105"/>
      <c r="G13" s="105"/>
      <c r="H13" s="105"/>
      <c r="I13" s="105"/>
      <c r="J13" s="105"/>
      <c r="K13" s="105"/>
    </row>
    <row r="14" spans="1:11">
      <c r="A14" s="103" t="s">
        <v>46</v>
      </c>
      <c r="B14" s="103"/>
      <c r="C14" s="103"/>
      <c r="D14" s="103"/>
      <c r="E14" s="103"/>
      <c r="F14" s="103"/>
      <c r="G14" s="103"/>
      <c r="H14" s="103"/>
      <c r="I14" s="103"/>
      <c r="J14" s="103"/>
      <c r="K14" s="103"/>
    </row>
    <row r="15" spans="1:11" ht="45">
      <c r="A15" s="11" t="s">
        <v>79</v>
      </c>
      <c r="B15" s="12">
        <v>1951</v>
      </c>
      <c r="C15" s="12">
        <v>2008</v>
      </c>
      <c r="D15" s="12">
        <f>D16</f>
        <v>2019</v>
      </c>
      <c r="E15" s="12">
        <f t="shared" ref="E15:F15" si="0">E16</f>
        <v>2011</v>
      </c>
      <c r="F15" s="12">
        <f t="shared" si="0"/>
        <v>1993</v>
      </c>
      <c r="G15" s="13">
        <v>68464.2</v>
      </c>
      <c r="H15" s="13">
        <v>75810.149999999994</v>
      </c>
      <c r="I15" s="13">
        <v>91063.03</v>
      </c>
      <c r="J15" s="13">
        <v>94656.4</v>
      </c>
      <c r="K15" s="13">
        <v>94656.4</v>
      </c>
    </row>
    <row r="16" spans="1:11" ht="30">
      <c r="A16" s="11" t="s">
        <v>51</v>
      </c>
      <c r="B16" s="16">
        <v>1951</v>
      </c>
      <c r="C16" s="16">
        <v>2008</v>
      </c>
      <c r="D16" s="16">
        <v>2019</v>
      </c>
      <c r="E16" s="16">
        <v>2011</v>
      </c>
      <c r="F16" s="16">
        <v>1993</v>
      </c>
      <c r="G16" s="17">
        <v>68464.2</v>
      </c>
      <c r="H16" s="17">
        <v>75810.149999999994</v>
      </c>
      <c r="I16" s="17">
        <f>94063.03-760.3-610.8+13.6</f>
        <v>92705.53</v>
      </c>
      <c r="J16" s="17">
        <f>94656.4-500+1561.9</f>
        <v>95718.299999999988</v>
      </c>
      <c r="K16" s="17">
        <f>94656.4-500+1561.9</f>
        <v>95718.299999999988</v>
      </c>
    </row>
    <row r="17" spans="1:13">
      <c r="A17" s="5"/>
      <c r="B17" s="5"/>
      <c r="C17" s="5"/>
      <c r="D17" s="5"/>
      <c r="E17" s="5"/>
      <c r="F17" s="5"/>
      <c r="G17" s="5"/>
      <c r="H17" s="5"/>
      <c r="I17" s="5"/>
      <c r="J17" s="5"/>
      <c r="K17" s="5"/>
    </row>
    <row r="18" spans="1:13" ht="30" customHeight="1">
      <c r="A18" s="106" t="s">
        <v>26</v>
      </c>
      <c r="B18" s="106"/>
      <c r="C18" s="106"/>
      <c r="D18" s="106"/>
      <c r="E18" s="106"/>
      <c r="F18" s="106"/>
      <c r="G18" s="106"/>
      <c r="H18" s="106"/>
      <c r="I18" s="106"/>
      <c r="J18" s="106"/>
      <c r="K18" s="106"/>
    </row>
    <row r="19" spans="1:13">
      <c r="A19" s="103" t="s">
        <v>46</v>
      </c>
      <c r="B19" s="103"/>
      <c r="C19" s="103"/>
      <c r="D19" s="103"/>
      <c r="E19" s="103"/>
      <c r="F19" s="103"/>
      <c r="G19" s="103"/>
      <c r="H19" s="103"/>
      <c r="I19" s="103"/>
      <c r="J19" s="103"/>
      <c r="K19" s="103"/>
    </row>
    <row r="20" spans="1:13" ht="45">
      <c r="A20" s="11" t="s">
        <v>80</v>
      </c>
      <c r="B20" s="12">
        <v>2187</v>
      </c>
      <c r="C20" s="12">
        <v>2151</v>
      </c>
      <c r="D20" s="12">
        <v>2158</v>
      </c>
      <c r="E20" s="12">
        <v>2213</v>
      </c>
      <c r="F20" s="12">
        <v>2299</v>
      </c>
      <c r="G20" s="14">
        <v>81666.7</v>
      </c>
      <c r="H20" s="14">
        <v>82660.7</v>
      </c>
      <c r="I20" s="14">
        <v>101013</v>
      </c>
      <c r="J20" s="14">
        <v>103999.9</v>
      </c>
      <c r="K20" s="14">
        <v>103999.9</v>
      </c>
    </row>
    <row r="21" spans="1:13" ht="30">
      <c r="A21" s="11" t="s">
        <v>51</v>
      </c>
      <c r="B21" s="16">
        <v>2187</v>
      </c>
      <c r="C21" s="16">
        <v>2151</v>
      </c>
      <c r="D21" s="16">
        <v>2158</v>
      </c>
      <c r="E21" s="16">
        <v>2213</v>
      </c>
      <c r="F21" s="16">
        <v>2299</v>
      </c>
      <c r="G21" s="18">
        <v>81666.7</v>
      </c>
      <c r="H21" s="18">
        <v>82660.7</v>
      </c>
      <c r="I21" s="18">
        <f>103021.4-2008.4+1498.78-410.46</f>
        <v>102101.31999999999</v>
      </c>
      <c r="J21" s="18">
        <f>103999.9-1000-200+2000</f>
        <v>104799.9</v>
      </c>
      <c r="K21" s="18">
        <f>103999.9-1000-200+2000</f>
        <v>104799.9</v>
      </c>
    </row>
    <row r="22" spans="1:13">
      <c r="A22" s="5"/>
      <c r="B22" s="5"/>
      <c r="C22" s="5"/>
      <c r="D22" s="5"/>
      <c r="E22" s="5"/>
      <c r="F22" s="5"/>
      <c r="G22" s="5"/>
      <c r="H22" s="5"/>
      <c r="I22" s="5"/>
      <c r="J22" s="5"/>
      <c r="K22" s="5"/>
    </row>
    <row r="23" spans="1:13" ht="30" customHeight="1">
      <c r="A23" s="104" t="s">
        <v>27</v>
      </c>
      <c r="B23" s="104"/>
      <c r="C23" s="104"/>
      <c r="D23" s="104"/>
      <c r="E23" s="104"/>
      <c r="F23" s="104"/>
      <c r="G23" s="104"/>
      <c r="H23" s="104"/>
      <c r="I23" s="104"/>
      <c r="J23" s="104"/>
      <c r="K23" s="104"/>
    </row>
    <row r="24" spans="1:13">
      <c r="A24" s="103" t="s">
        <v>46</v>
      </c>
      <c r="B24" s="103"/>
      <c r="C24" s="103"/>
      <c r="D24" s="103"/>
      <c r="E24" s="103"/>
      <c r="F24" s="103"/>
      <c r="G24" s="103"/>
      <c r="H24" s="103"/>
      <c r="I24" s="103"/>
      <c r="J24" s="103"/>
      <c r="K24" s="103"/>
    </row>
    <row r="25" spans="1:13" ht="45">
      <c r="A25" s="11" t="s">
        <v>80</v>
      </c>
      <c r="B25" s="12">
        <v>611</v>
      </c>
      <c r="C25" s="12">
        <v>581</v>
      </c>
      <c r="D25" s="12">
        <v>499</v>
      </c>
      <c r="E25" s="12">
        <v>527</v>
      </c>
      <c r="F25" s="12">
        <v>509</v>
      </c>
      <c r="G25" s="14">
        <v>8597.5</v>
      </c>
      <c r="H25" s="14">
        <v>22714.799999999999</v>
      </c>
      <c r="I25" s="14">
        <f>I26</f>
        <v>25311.399999999998</v>
      </c>
      <c r="J25" s="14">
        <f t="shared" ref="J25:K25" si="1">J26</f>
        <v>27967.100000000002</v>
      </c>
      <c r="K25" s="14">
        <f t="shared" si="1"/>
        <v>27967.100000000002</v>
      </c>
      <c r="M25" s="15"/>
    </row>
    <row r="26" spans="1:13" ht="30">
      <c r="A26" s="11" t="s">
        <v>51</v>
      </c>
      <c r="B26" s="16">
        <v>611</v>
      </c>
      <c r="C26" s="16">
        <v>581</v>
      </c>
      <c r="D26" s="16">
        <v>499</v>
      </c>
      <c r="E26" s="16">
        <v>527</v>
      </c>
      <c r="F26" s="16">
        <v>509</v>
      </c>
      <c r="G26" s="18">
        <v>8597.5</v>
      </c>
      <c r="H26" s="18">
        <v>22714.799999999999</v>
      </c>
      <c r="I26" s="18">
        <f>26875.17-1563.77</f>
        <v>25311.399999999998</v>
      </c>
      <c r="J26" s="18">
        <f>27430.4+1295.9-1800+1000+40.8</f>
        <v>27967.100000000002</v>
      </c>
      <c r="K26" s="18">
        <f>J26</f>
        <v>27967.100000000002</v>
      </c>
    </row>
    <row r="27" spans="1:13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</row>
    <row r="28" spans="1:13" ht="14.25" customHeight="1">
      <c r="A28" s="107" t="s">
        <v>29</v>
      </c>
      <c r="B28" s="107"/>
      <c r="C28" s="107"/>
      <c r="D28" s="107"/>
      <c r="E28" s="107"/>
      <c r="F28" s="107"/>
      <c r="G28" s="107"/>
      <c r="H28" s="107"/>
      <c r="I28" s="107"/>
      <c r="J28" s="107"/>
      <c r="K28" s="107"/>
    </row>
    <row r="29" spans="1:13" ht="15" customHeight="1">
      <c r="A29" s="103" t="s">
        <v>46</v>
      </c>
      <c r="B29" s="103"/>
      <c r="C29" s="103"/>
      <c r="D29" s="103"/>
      <c r="E29" s="103"/>
      <c r="F29" s="103"/>
      <c r="G29" s="103"/>
      <c r="H29" s="103"/>
      <c r="I29" s="103"/>
      <c r="J29" s="103"/>
      <c r="K29" s="103"/>
    </row>
    <row r="30" spans="1:13" ht="45">
      <c r="A30" s="11" t="s">
        <v>81</v>
      </c>
      <c r="B30" s="12">
        <v>1656</v>
      </c>
      <c r="C30" s="12">
        <v>1656</v>
      </c>
      <c r="D30" s="12">
        <v>1659</v>
      </c>
      <c r="E30" s="12">
        <v>1659</v>
      </c>
      <c r="F30" s="12">
        <v>1659</v>
      </c>
      <c r="G30" s="14">
        <v>10052.959999999999</v>
      </c>
      <c r="H30" s="14">
        <v>11037.9</v>
      </c>
      <c r="I30" s="14">
        <v>14518.1</v>
      </c>
      <c r="J30" s="14">
        <v>14764.6</v>
      </c>
      <c r="K30" s="14">
        <v>14764.6</v>
      </c>
    </row>
    <row r="31" spans="1:13" ht="30">
      <c r="A31" s="11" t="s">
        <v>52</v>
      </c>
      <c r="B31" s="16">
        <v>1656</v>
      </c>
      <c r="C31" s="16">
        <v>1656</v>
      </c>
      <c r="D31" s="16">
        <v>1659</v>
      </c>
      <c r="E31" s="16">
        <v>1659</v>
      </c>
      <c r="F31" s="16">
        <v>1659</v>
      </c>
      <c r="G31" s="18">
        <v>10052.959999999999</v>
      </c>
      <c r="H31" s="18">
        <v>11037.9</v>
      </c>
      <c r="I31" s="18">
        <f>I52</f>
        <v>13555.430999999999</v>
      </c>
      <c r="J31" s="18">
        <f t="shared" ref="J31:K31" si="2">J52</f>
        <v>13746.8</v>
      </c>
      <c r="K31" s="18">
        <f t="shared" si="2"/>
        <v>13746.8</v>
      </c>
    </row>
    <row r="32" spans="1:13" ht="14.25" customHeight="1">
      <c r="A32" s="102" t="s">
        <v>28</v>
      </c>
      <c r="B32" s="102"/>
      <c r="C32" s="102"/>
      <c r="D32" s="102"/>
      <c r="E32" s="102"/>
      <c r="F32" s="102"/>
      <c r="G32" s="102"/>
      <c r="H32" s="102"/>
      <c r="I32" s="102"/>
      <c r="J32" s="102"/>
      <c r="K32" s="102"/>
    </row>
    <row r="33" spans="1:11" ht="14.25" customHeight="1">
      <c r="A33" s="103" t="s">
        <v>48</v>
      </c>
      <c r="B33" s="103"/>
      <c r="C33" s="103"/>
      <c r="D33" s="103"/>
      <c r="E33" s="103"/>
      <c r="F33" s="103"/>
      <c r="G33" s="103"/>
      <c r="H33" s="103"/>
      <c r="I33" s="103"/>
      <c r="J33" s="103"/>
      <c r="K33" s="103"/>
    </row>
    <row r="34" spans="1:11" ht="45">
      <c r="A34" s="11" t="s">
        <v>79</v>
      </c>
      <c r="B34" s="12">
        <v>2146</v>
      </c>
      <c r="C34" s="12">
        <v>2166</v>
      </c>
      <c r="D34" s="12">
        <f>D35</f>
        <v>2421</v>
      </c>
      <c r="E34" s="12">
        <f t="shared" ref="E34:F34" si="3">E35</f>
        <v>2421</v>
      </c>
      <c r="F34" s="12">
        <f t="shared" si="3"/>
        <v>2421</v>
      </c>
      <c r="G34" s="14">
        <v>122836.5</v>
      </c>
      <c r="H34" s="14">
        <v>140382.1</v>
      </c>
      <c r="I34" s="14">
        <v>89260</v>
      </c>
      <c r="J34" s="14">
        <v>95332.3</v>
      </c>
      <c r="K34" s="14">
        <v>95332.3</v>
      </c>
    </row>
    <row r="35" spans="1:11" ht="30">
      <c r="A35" s="11" t="s">
        <v>53</v>
      </c>
      <c r="B35" s="16">
        <v>2146</v>
      </c>
      <c r="C35" s="16">
        <v>2166</v>
      </c>
      <c r="D35" s="16">
        <v>2421</v>
      </c>
      <c r="E35" s="16">
        <v>2421</v>
      </c>
      <c r="F35" s="16">
        <v>2421</v>
      </c>
      <c r="G35" s="18">
        <v>122836.5</v>
      </c>
      <c r="H35" s="18">
        <v>140382.1</v>
      </c>
      <c r="I35" s="18">
        <f>I51</f>
        <v>166365.87291000001</v>
      </c>
      <c r="J35" s="18">
        <f>J51</f>
        <v>173933.8</v>
      </c>
      <c r="K35" s="18">
        <f>K51</f>
        <v>174631.3</v>
      </c>
    </row>
    <row r="36" spans="1:11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</row>
    <row r="37" spans="1:11" ht="14.25" customHeight="1">
      <c r="A37" s="102" t="s">
        <v>30</v>
      </c>
      <c r="B37" s="102"/>
      <c r="C37" s="102"/>
      <c r="D37" s="102"/>
      <c r="E37" s="102"/>
      <c r="F37" s="102"/>
      <c r="G37" s="102"/>
      <c r="H37" s="102"/>
      <c r="I37" s="102"/>
      <c r="J37" s="102"/>
      <c r="K37" s="102"/>
    </row>
    <row r="38" spans="1:11" ht="18" customHeight="1">
      <c r="A38" s="103" t="s">
        <v>47</v>
      </c>
      <c r="B38" s="103"/>
      <c r="C38" s="103"/>
      <c r="D38" s="103"/>
      <c r="E38" s="103"/>
      <c r="F38" s="103"/>
      <c r="G38" s="103"/>
      <c r="H38" s="103"/>
      <c r="I38" s="103"/>
      <c r="J38" s="103"/>
      <c r="K38" s="103"/>
    </row>
    <row r="39" spans="1:11" ht="60" customHeight="1">
      <c r="A39" s="11" t="s">
        <v>82</v>
      </c>
      <c r="B39" s="12">
        <v>715</v>
      </c>
      <c r="C39" s="12">
        <v>715</v>
      </c>
      <c r="D39" s="12">
        <f>D40</f>
        <v>608</v>
      </c>
      <c r="E39" s="12">
        <f t="shared" ref="E39:F39" si="4">E40</f>
        <v>608</v>
      </c>
      <c r="F39" s="12">
        <f t="shared" si="4"/>
        <v>608</v>
      </c>
      <c r="G39" s="14">
        <v>2671.7</v>
      </c>
      <c r="H39" s="14">
        <v>2796.8</v>
      </c>
      <c r="I39" s="14">
        <v>2951.3</v>
      </c>
      <c r="J39" s="14">
        <v>3067.1</v>
      </c>
      <c r="K39" s="14">
        <v>3067.1</v>
      </c>
    </row>
    <row r="40" spans="1:11" ht="45">
      <c r="A40" s="11" t="s">
        <v>67</v>
      </c>
      <c r="B40" s="16">
        <v>715</v>
      </c>
      <c r="C40" s="16">
        <v>715</v>
      </c>
      <c r="D40" s="16">
        <v>608</v>
      </c>
      <c r="E40" s="16">
        <v>608</v>
      </c>
      <c r="F40" s="16">
        <v>608</v>
      </c>
      <c r="G40" s="18">
        <v>2671.7</v>
      </c>
      <c r="H40" s="18">
        <v>2796.8</v>
      </c>
      <c r="I40" s="18">
        <f>I53</f>
        <v>2891.3</v>
      </c>
      <c r="J40" s="18">
        <f t="shared" ref="J40:K40" si="5">J53</f>
        <v>2867.1</v>
      </c>
      <c r="K40" s="18">
        <f t="shared" si="5"/>
        <v>2867.1</v>
      </c>
    </row>
    <row r="47" spans="1:11">
      <c r="I47" s="19"/>
    </row>
    <row r="48" spans="1:11">
      <c r="I48" s="19">
        <f>I50-I49</f>
        <v>7.2000001091510057E-4</v>
      </c>
      <c r="J48" s="19">
        <f t="shared" ref="J48:K48" si="6">J50-J49</f>
        <v>0</v>
      </c>
      <c r="K48" s="19">
        <f t="shared" si="6"/>
        <v>0</v>
      </c>
    </row>
    <row r="49" spans="1:11" ht="15" hidden="1" customHeight="1" outlineLevel="1">
      <c r="I49" s="19">
        <f>I16+I21+I26</f>
        <v>220118.24999999997</v>
      </c>
      <c r="J49" s="19">
        <f t="shared" ref="J49:K49" si="7">J16+J21+J26</f>
        <v>228485.3</v>
      </c>
      <c r="K49" s="19">
        <f t="shared" si="7"/>
        <v>228485.3</v>
      </c>
    </row>
    <row r="50" spans="1:11" ht="15" hidden="1" customHeight="1" outlineLevel="1">
      <c r="A50" s="1" t="s">
        <v>54</v>
      </c>
      <c r="I50" s="1">
        <f>59158.34772+119429.639+11823.87+27553.594+2270+480-297.2-300</f>
        <v>220118.25071999998</v>
      </c>
      <c r="J50" s="1">
        <f>61647+127036.6+12482.2+27319.5</f>
        <v>228485.30000000002</v>
      </c>
      <c r="K50" s="1">
        <f>J50</f>
        <v>228485.30000000002</v>
      </c>
    </row>
    <row r="51" spans="1:11" ht="15" hidden="1" customHeight="1" outlineLevel="1">
      <c r="A51" s="1" t="s">
        <v>55</v>
      </c>
      <c r="I51" s="1">
        <f>17096.90491+14742.592+64069.53+67592.735+2600+685.671-376.4-45.16</f>
        <v>166365.87291000001</v>
      </c>
      <c r="J51" s="1">
        <f>18359.7+68976.8+68436.3+18161</f>
        <v>173933.8</v>
      </c>
      <c r="K51" s="38">
        <f>69476.8+18557.2+68436.3+18161</f>
        <v>174631.3</v>
      </c>
    </row>
    <row r="52" spans="1:11" ht="15" hidden="1" customHeight="1" outlineLevel="1">
      <c r="A52" s="1" t="s">
        <v>56</v>
      </c>
      <c r="I52" s="1">
        <f>13405.88+229.551-80</f>
        <v>13555.430999999999</v>
      </c>
      <c r="J52" s="1">
        <v>13746.8</v>
      </c>
      <c r="K52" s="1">
        <v>13746.8</v>
      </c>
    </row>
    <row r="53" spans="1:11" ht="15" hidden="1" customHeight="1" outlineLevel="1">
      <c r="A53" s="1" t="s">
        <v>57</v>
      </c>
      <c r="I53" s="1">
        <v>2891.3</v>
      </c>
      <c r="J53" s="1">
        <v>2867.1</v>
      </c>
      <c r="K53" s="1">
        <v>2867.1</v>
      </c>
    </row>
    <row r="54" spans="1:11" collapsed="1"/>
  </sheetData>
  <mergeCells count="18">
    <mergeCell ref="A37:K37"/>
    <mergeCell ref="A38:K38"/>
    <mergeCell ref="I5:K5"/>
    <mergeCell ref="I4:K4"/>
    <mergeCell ref="A32:K32"/>
    <mergeCell ref="A33:K33"/>
    <mergeCell ref="A9:K9"/>
    <mergeCell ref="A14:K14"/>
    <mergeCell ref="A23:K23"/>
    <mergeCell ref="B11:F11"/>
    <mergeCell ref="G11:K11"/>
    <mergeCell ref="A11:A12"/>
    <mergeCell ref="A13:K13"/>
    <mergeCell ref="A18:K18"/>
    <mergeCell ref="A19:K19"/>
    <mergeCell ref="A24:K24"/>
    <mergeCell ref="A28:K28"/>
    <mergeCell ref="A29:K29"/>
  </mergeCells>
  <pageMargins left="0.51181102362204722" right="0" top="0.35433070866141736" bottom="0" header="0.31496062992125984" footer="0.31496062992125984"/>
  <pageSetup paperSize="9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ПР.4 мун.пр.</vt:lpstr>
      <vt:lpstr>пр.5 мун.пр.</vt:lpstr>
      <vt:lpstr>пр.6. мун.пр.</vt:lpstr>
      <vt:lpstr>'ПР.4 мун.пр.'!Заголовки_для_печати</vt:lpstr>
      <vt:lpstr>'пр.6. мун.пр.'!Заголовки_для_печати</vt:lpstr>
      <vt:lpstr>'пр.6. мун.пр.'!Область_печати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2014-05-13T08:54:01Z</dcterms:modified>
</cp:coreProperties>
</file>